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tabRatio="863"/>
  </bookViews>
  <sheets>
    <sheet name="свод" sheetId="42" r:id="rId1"/>
    <sheet name="1-2-3" sheetId="43" r:id="rId2"/>
    <sheet name="4-5" sheetId="47" r:id="rId3"/>
    <sheet name="6-7-8" sheetId="49" r:id="rId4"/>
    <sheet name="9-10" sheetId="48" r:id="rId5"/>
    <sheet name="000" sheetId="29" r:id="rId6"/>
  </sheets>
  <definedNames>
    <definedName name="_xlnm.Print_Area" localSheetId="4">'9-10'!$A$1:$O$5</definedName>
  </definedNames>
  <calcPr calcId="152511"/>
</workbook>
</file>

<file path=xl/calcChain.xml><?xml version="1.0" encoding="utf-8"?>
<calcChain xmlns="http://schemas.openxmlformats.org/spreadsheetml/2006/main">
  <c r="L23" i="48" l="1"/>
  <c r="K23" i="48"/>
  <c r="J23" i="48"/>
  <c r="I23" i="48"/>
  <c r="H23" i="48"/>
  <c r="N23" i="48" s="1"/>
  <c r="G23" i="48"/>
  <c r="M23" i="48" s="1"/>
  <c r="L39" i="49"/>
  <c r="K39" i="49"/>
  <c r="J39" i="49"/>
  <c r="I39" i="49"/>
  <c r="H39" i="49"/>
  <c r="N39" i="49" s="1"/>
  <c r="G39" i="49"/>
  <c r="M39" i="49" s="1"/>
  <c r="L26" i="48"/>
  <c r="K26" i="48"/>
  <c r="J26" i="48"/>
  <c r="I26" i="48"/>
  <c r="H26" i="48"/>
  <c r="N26" i="48" s="1"/>
  <c r="G26" i="48"/>
  <c r="M26" i="48" s="1"/>
  <c r="L25" i="48"/>
  <c r="K25" i="48"/>
  <c r="J25" i="48"/>
  <c r="I25" i="48"/>
  <c r="H25" i="48"/>
  <c r="N25" i="48" s="1"/>
  <c r="G25" i="48"/>
  <c r="M25" i="48" s="1"/>
  <c r="L24" i="48"/>
  <c r="K24" i="48"/>
  <c r="J24" i="48"/>
  <c r="I24" i="48"/>
  <c r="H24" i="48"/>
  <c r="N24" i="48" s="1"/>
  <c r="G24" i="48"/>
  <c r="M24" i="48" s="1"/>
  <c r="L10" i="48"/>
  <c r="K10" i="48"/>
  <c r="J10" i="48"/>
  <c r="I10" i="48"/>
  <c r="H10" i="48"/>
  <c r="N10" i="48" s="1"/>
  <c r="G10" i="48"/>
  <c r="M10" i="48" s="1"/>
  <c r="L9" i="48"/>
  <c r="K9" i="48"/>
  <c r="J9" i="48"/>
  <c r="I9" i="48"/>
  <c r="H9" i="48"/>
  <c r="N9" i="48" s="1"/>
  <c r="G9" i="48"/>
  <c r="M9" i="48" s="1"/>
  <c r="L8" i="48"/>
  <c r="K8" i="48"/>
  <c r="J8" i="48"/>
  <c r="I8" i="48"/>
  <c r="H8" i="48"/>
  <c r="N8" i="48" s="1"/>
  <c r="G8" i="48"/>
  <c r="M8" i="48" s="1"/>
  <c r="L7" i="48"/>
  <c r="K7" i="48"/>
  <c r="J7" i="48"/>
  <c r="I7" i="48"/>
  <c r="H7" i="48"/>
  <c r="N7" i="48" s="1"/>
  <c r="G7" i="48"/>
  <c r="M7" i="48" s="1"/>
  <c r="L41" i="49"/>
  <c r="K41" i="49"/>
  <c r="J41" i="49"/>
  <c r="I41" i="49"/>
  <c r="H41" i="49"/>
  <c r="N41" i="49" s="1"/>
  <c r="G41" i="49"/>
  <c r="M41" i="49" s="1"/>
  <c r="L8" i="49"/>
  <c r="K8" i="49"/>
  <c r="J8" i="49"/>
  <c r="I8" i="49"/>
  <c r="H8" i="49"/>
  <c r="N8" i="49" s="1"/>
  <c r="G8" i="49"/>
  <c r="M8" i="49" s="1"/>
  <c r="F43" i="49" l="1"/>
  <c r="E43" i="49"/>
  <c r="L42" i="49"/>
  <c r="K42" i="49"/>
  <c r="J42" i="49"/>
  <c r="I42" i="49"/>
  <c r="H42" i="49"/>
  <c r="N42" i="49" s="1"/>
  <c r="G42" i="49"/>
  <c r="M42" i="49" s="1"/>
  <c r="L40" i="49"/>
  <c r="K40" i="49"/>
  <c r="J40" i="49"/>
  <c r="I40" i="49"/>
  <c r="H40" i="49"/>
  <c r="N40" i="49" s="1"/>
  <c r="G40" i="49"/>
  <c r="M40" i="49" s="1"/>
  <c r="L43" i="49"/>
  <c r="K43" i="49"/>
  <c r="J43" i="49"/>
  <c r="I43" i="49"/>
  <c r="H43" i="49"/>
  <c r="G43" i="49"/>
  <c r="L28" i="49"/>
  <c r="K28" i="49"/>
  <c r="J28" i="49"/>
  <c r="I28" i="49"/>
  <c r="H28" i="49"/>
  <c r="N28" i="49" s="1"/>
  <c r="G28" i="49"/>
  <c r="M28" i="49" s="1"/>
  <c r="L26" i="49"/>
  <c r="K26" i="49"/>
  <c r="J26" i="49"/>
  <c r="I26" i="49"/>
  <c r="H26" i="49"/>
  <c r="N26" i="49" s="1"/>
  <c r="G26" i="49"/>
  <c r="M26" i="49" s="1"/>
  <c r="L27" i="49"/>
  <c r="K27" i="49"/>
  <c r="J27" i="49"/>
  <c r="I27" i="49"/>
  <c r="H27" i="49"/>
  <c r="N27" i="49" s="1"/>
  <c r="G27" i="49"/>
  <c r="M27" i="49" s="1"/>
  <c r="L25" i="49"/>
  <c r="K25" i="49"/>
  <c r="J25" i="49"/>
  <c r="I25" i="49"/>
  <c r="H25" i="49"/>
  <c r="N25" i="49" s="1"/>
  <c r="G25" i="49"/>
  <c r="M25" i="49" s="1"/>
  <c r="L9" i="49"/>
  <c r="K9" i="49"/>
  <c r="J9" i="49"/>
  <c r="I9" i="49"/>
  <c r="H9" i="49"/>
  <c r="N9" i="49" s="1"/>
  <c r="G9" i="49"/>
  <c r="M9" i="49" s="1"/>
  <c r="L11" i="49"/>
  <c r="K11" i="49"/>
  <c r="J11" i="49"/>
  <c r="I11" i="49"/>
  <c r="H11" i="49"/>
  <c r="N11" i="49" s="1"/>
  <c r="G11" i="49"/>
  <c r="M11" i="49" s="1"/>
  <c r="L10" i="49"/>
  <c r="K10" i="49"/>
  <c r="J10" i="49"/>
  <c r="I10" i="49"/>
  <c r="H10" i="49"/>
  <c r="N10" i="49" s="1"/>
  <c r="G10" i="49"/>
  <c r="M10" i="49" s="1"/>
  <c r="L25" i="47"/>
  <c r="K25" i="47"/>
  <c r="J25" i="47"/>
  <c r="I25" i="47"/>
  <c r="H25" i="47"/>
  <c r="N25" i="47" s="1"/>
  <c r="G25" i="47"/>
  <c r="M25" i="47" s="1"/>
  <c r="L23" i="47"/>
  <c r="K23" i="47"/>
  <c r="J23" i="47"/>
  <c r="I23" i="47"/>
  <c r="H23" i="47"/>
  <c r="N23" i="47" s="1"/>
  <c r="G23" i="47"/>
  <c r="M23" i="47" s="1"/>
  <c r="L24" i="47"/>
  <c r="K24" i="47"/>
  <c r="J24" i="47"/>
  <c r="I24" i="47"/>
  <c r="H24" i="47"/>
  <c r="N24" i="47" s="1"/>
  <c r="G24" i="47"/>
  <c r="M24" i="47" s="1"/>
  <c r="L22" i="47"/>
  <c r="K22" i="47"/>
  <c r="J22" i="47"/>
  <c r="I22" i="47"/>
  <c r="H22" i="47"/>
  <c r="N22" i="47" s="1"/>
  <c r="G22" i="47"/>
  <c r="M22" i="47" s="1"/>
  <c r="L9" i="47"/>
  <c r="K9" i="47"/>
  <c r="J9" i="47"/>
  <c r="I9" i="47"/>
  <c r="H9" i="47"/>
  <c r="N9" i="47" s="1"/>
  <c r="G9" i="47"/>
  <c r="M9" i="47" s="1"/>
  <c r="L11" i="47"/>
  <c r="K11" i="47"/>
  <c r="J11" i="47"/>
  <c r="I11" i="47"/>
  <c r="H11" i="47"/>
  <c r="N11" i="47" s="1"/>
  <c r="G11" i="47"/>
  <c r="M11" i="47" s="1"/>
  <c r="L10" i="47"/>
  <c r="K10" i="47"/>
  <c r="J10" i="47"/>
  <c r="I10" i="47"/>
  <c r="H10" i="47"/>
  <c r="N10" i="47" s="1"/>
  <c r="G10" i="47"/>
  <c r="M10" i="47" s="1"/>
  <c r="L8" i="47"/>
  <c r="K8" i="47"/>
  <c r="J8" i="47"/>
  <c r="I8" i="47"/>
  <c r="H8" i="47"/>
  <c r="N8" i="47" s="1"/>
  <c r="G8" i="47"/>
  <c r="M8" i="47" s="1"/>
  <c r="L37" i="43"/>
  <c r="K37" i="43"/>
  <c r="J37" i="43"/>
  <c r="I37" i="43"/>
  <c r="H37" i="43"/>
  <c r="N37" i="43" s="1"/>
  <c r="G37" i="43"/>
  <c r="M37" i="43" s="1"/>
  <c r="L35" i="43"/>
  <c r="K35" i="43"/>
  <c r="J35" i="43"/>
  <c r="I35" i="43"/>
  <c r="H35" i="43"/>
  <c r="N35" i="43" s="1"/>
  <c r="G35" i="43"/>
  <c r="M35" i="43" s="1"/>
  <c r="L53" i="43"/>
  <c r="K53" i="43"/>
  <c r="J53" i="43"/>
  <c r="I53" i="43"/>
  <c r="H53" i="43"/>
  <c r="N53" i="43" s="1"/>
  <c r="G53" i="43"/>
  <c r="M53" i="43" s="1"/>
  <c r="L51" i="43"/>
  <c r="K51" i="43"/>
  <c r="J51" i="43"/>
  <c r="I51" i="43"/>
  <c r="H51" i="43"/>
  <c r="N51" i="43" s="1"/>
  <c r="G51" i="43"/>
  <c r="M51" i="43" s="1"/>
  <c r="L52" i="43"/>
  <c r="K52" i="43"/>
  <c r="J52" i="43"/>
  <c r="I52" i="43"/>
  <c r="H52" i="43"/>
  <c r="N52" i="43" s="1"/>
  <c r="G52" i="43"/>
  <c r="M52" i="43" s="1"/>
  <c r="L50" i="43"/>
  <c r="K50" i="43"/>
  <c r="J50" i="43"/>
  <c r="I50" i="43"/>
  <c r="H50" i="43"/>
  <c r="N50" i="43" s="1"/>
  <c r="G50" i="43"/>
  <c r="M50" i="43" s="1"/>
  <c r="L36" i="43"/>
  <c r="K36" i="43"/>
  <c r="J36" i="43"/>
  <c r="I36" i="43"/>
  <c r="H36" i="43"/>
  <c r="N36" i="43" s="1"/>
  <c r="G36" i="43"/>
  <c r="M36" i="43" s="1"/>
  <c r="L34" i="43"/>
  <c r="K34" i="43"/>
  <c r="J34" i="43"/>
  <c r="I34" i="43"/>
  <c r="H34" i="43"/>
  <c r="N34" i="43" s="1"/>
  <c r="G34" i="43"/>
  <c r="M34" i="43" s="1"/>
  <c r="L19" i="43"/>
  <c r="K19" i="43"/>
  <c r="J19" i="43"/>
  <c r="I19" i="43"/>
  <c r="H19" i="43"/>
  <c r="N19" i="43" s="1"/>
  <c r="G19" i="43"/>
  <c r="M19" i="43" s="1"/>
  <c r="L21" i="43"/>
  <c r="K21" i="43"/>
  <c r="J21" i="43"/>
  <c r="I21" i="43"/>
  <c r="H21" i="43"/>
  <c r="N21" i="43" s="1"/>
  <c r="G21" i="43"/>
  <c r="M21" i="43" s="1"/>
  <c r="L20" i="43"/>
  <c r="K20" i="43"/>
  <c r="J20" i="43"/>
  <c r="I20" i="43"/>
  <c r="H20" i="43"/>
  <c r="N20" i="43" s="1"/>
  <c r="G20" i="43"/>
  <c r="M20" i="43" s="1"/>
  <c r="L18" i="43"/>
  <c r="K18" i="43"/>
  <c r="J18" i="43"/>
  <c r="I18" i="43"/>
  <c r="H18" i="43"/>
  <c r="N18" i="43" s="1"/>
  <c r="G18" i="43"/>
  <c r="M18" i="43" s="1"/>
  <c r="M43" i="49" l="1"/>
  <c r="N43" i="49"/>
  <c r="L38" i="48" l="1"/>
  <c r="K38" i="48"/>
  <c r="J38" i="48"/>
  <c r="I38" i="48"/>
  <c r="H38" i="48"/>
  <c r="N38" i="48" s="1"/>
  <c r="G38" i="48"/>
  <c r="M38" i="48" s="1"/>
  <c r="L33" i="48"/>
  <c r="K33" i="48"/>
  <c r="J33" i="48"/>
  <c r="I33" i="48"/>
  <c r="H33" i="48"/>
  <c r="N33" i="48" s="1"/>
  <c r="G33" i="48"/>
  <c r="M33" i="48" s="1"/>
  <c r="L31" i="48"/>
  <c r="K31" i="48"/>
  <c r="J31" i="48"/>
  <c r="I31" i="48"/>
  <c r="H31" i="48"/>
  <c r="N31" i="48" s="1"/>
  <c r="G31" i="48"/>
  <c r="M31" i="48" s="1"/>
  <c r="L32" i="48"/>
  <c r="K32" i="48"/>
  <c r="J32" i="48"/>
  <c r="I32" i="48"/>
  <c r="H32" i="48"/>
  <c r="N32" i="48" s="1"/>
  <c r="G32" i="48"/>
  <c r="M32" i="48" s="1"/>
  <c r="L17" i="48"/>
  <c r="K17" i="48"/>
  <c r="J17" i="48"/>
  <c r="I17" i="48"/>
  <c r="H17" i="48"/>
  <c r="N17" i="48" s="1"/>
  <c r="G17" i="48"/>
  <c r="M17" i="48" s="1"/>
  <c r="L18" i="48"/>
  <c r="K18" i="48"/>
  <c r="J18" i="48"/>
  <c r="I18" i="48"/>
  <c r="H18" i="48"/>
  <c r="N18" i="48" s="1"/>
  <c r="G18" i="48"/>
  <c r="M18" i="48" s="1"/>
  <c r="L15" i="48"/>
  <c r="K15" i="48"/>
  <c r="J15" i="48"/>
  <c r="I15" i="48"/>
  <c r="H15" i="48"/>
  <c r="N15" i="48" s="1"/>
  <c r="G15" i="48"/>
  <c r="M15" i="48" s="1"/>
  <c r="L16" i="48"/>
  <c r="K16" i="48"/>
  <c r="J16" i="48"/>
  <c r="I16" i="48"/>
  <c r="H16" i="48"/>
  <c r="N16" i="48" s="1"/>
  <c r="G16" i="48"/>
  <c r="M16" i="48" s="1"/>
  <c r="L14" i="48"/>
  <c r="K14" i="48"/>
  <c r="J14" i="48"/>
  <c r="I14" i="48"/>
  <c r="H14" i="48"/>
  <c r="N14" i="48" s="1"/>
  <c r="G14" i="48"/>
  <c r="M14" i="48" s="1"/>
  <c r="L47" i="49"/>
  <c r="K47" i="49"/>
  <c r="J47" i="49"/>
  <c r="I47" i="49"/>
  <c r="H47" i="49"/>
  <c r="N47" i="49" s="1"/>
  <c r="G47" i="49"/>
  <c r="M47" i="49" s="1"/>
  <c r="L46" i="49"/>
  <c r="K46" i="49"/>
  <c r="J46" i="49"/>
  <c r="I46" i="49"/>
  <c r="H46" i="49"/>
  <c r="N46" i="49" s="1"/>
  <c r="G46" i="49"/>
  <c r="M46" i="49" s="1"/>
  <c r="L45" i="49"/>
  <c r="K45" i="49"/>
  <c r="J45" i="49"/>
  <c r="I45" i="49"/>
  <c r="H45" i="49"/>
  <c r="N45" i="49" s="1"/>
  <c r="G45" i="49"/>
  <c r="M45" i="49" l="1"/>
  <c r="L34" i="49"/>
  <c r="K34" i="49"/>
  <c r="J34" i="49"/>
  <c r="I34" i="49"/>
  <c r="H34" i="49"/>
  <c r="N34" i="49" s="1"/>
  <c r="G34" i="49"/>
  <c r="M34" i="49" s="1"/>
  <c r="L32" i="49"/>
  <c r="K32" i="49"/>
  <c r="J32" i="49"/>
  <c r="I32" i="49"/>
  <c r="H32" i="49"/>
  <c r="N32" i="49" s="1"/>
  <c r="G32" i="49"/>
  <c r="M32" i="49" s="1"/>
  <c r="L33" i="49"/>
  <c r="K33" i="49"/>
  <c r="J33" i="49"/>
  <c r="I33" i="49"/>
  <c r="H33" i="49"/>
  <c r="N33" i="49" s="1"/>
  <c r="G33" i="49"/>
  <c r="M33" i="49" s="1"/>
  <c r="L31" i="49"/>
  <c r="K31" i="49"/>
  <c r="J31" i="49"/>
  <c r="I31" i="49"/>
  <c r="H31" i="49"/>
  <c r="N31" i="49" s="1"/>
  <c r="G31" i="49"/>
  <c r="M31" i="49" s="1"/>
  <c r="L17" i="49"/>
  <c r="K17" i="49"/>
  <c r="J17" i="49"/>
  <c r="I17" i="49"/>
  <c r="H17" i="49"/>
  <c r="N17" i="49" s="1"/>
  <c r="G17" i="49"/>
  <c r="M17" i="49" s="1"/>
  <c r="L16" i="49"/>
  <c r="K16" i="49"/>
  <c r="J16" i="49"/>
  <c r="I16" i="49"/>
  <c r="H16" i="49"/>
  <c r="N16" i="49" s="1"/>
  <c r="G16" i="49"/>
  <c r="M16" i="49" s="1"/>
  <c r="L22" i="49"/>
  <c r="K22" i="49"/>
  <c r="J22" i="49"/>
  <c r="I22" i="49"/>
  <c r="H22" i="49"/>
  <c r="N22" i="49" s="1"/>
  <c r="G22" i="49"/>
  <c r="M22" i="49" s="1"/>
  <c r="L15" i="49"/>
  <c r="K15" i="49"/>
  <c r="J15" i="49"/>
  <c r="I15" i="49"/>
  <c r="H15" i="49"/>
  <c r="N15" i="49" s="1"/>
  <c r="G15" i="49"/>
  <c r="M15" i="49" s="1"/>
  <c r="L14" i="49"/>
  <c r="K14" i="49"/>
  <c r="J14" i="49"/>
  <c r="I14" i="49"/>
  <c r="H14" i="49"/>
  <c r="N14" i="49" s="1"/>
  <c r="G14" i="49"/>
  <c r="M14" i="49" s="1"/>
  <c r="L31" i="47" l="1"/>
  <c r="K31" i="47"/>
  <c r="J31" i="47"/>
  <c r="I31" i="47"/>
  <c r="H31" i="47"/>
  <c r="N31" i="47" s="1"/>
  <c r="G31" i="47"/>
  <c r="M31" i="47" s="1"/>
  <c r="L29" i="47"/>
  <c r="K29" i="47"/>
  <c r="J29" i="47"/>
  <c r="I29" i="47"/>
  <c r="H29" i="47"/>
  <c r="N29" i="47" s="1"/>
  <c r="G29" i="47"/>
  <c r="M29" i="47" s="1"/>
  <c r="L28" i="47"/>
  <c r="K28" i="47"/>
  <c r="J28" i="47"/>
  <c r="I28" i="47"/>
  <c r="H28" i="47"/>
  <c r="N28" i="47" s="1"/>
  <c r="G28" i="47"/>
  <c r="M28" i="47" s="1"/>
  <c r="L16" i="47"/>
  <c r="K16" i="47"/>
  <c r="J16" i="47"/>
  <c r="I16" i="47"/>
  <c r="H16" i="47"/>
  <c r="N16" i="47" s="1"/>
  <c r="G16" i="47"/>
  <c r="M16" i="47" s="1"/>
  <c r="L15" i="47"/>
  <c r="K15" i="47"/>
  <c r="J15" i="47"/>
  <c r="I15" i="47"/>
  <c r="H15" i="47"/>
  <c r="N15" i="47" s="1"/>
  <c r="G15" i="47"/>
  <c r="M15" i="47" s="1"/>
  <c r="L14" i="47"/>
  <c r="K14" i="47"/>
  <c r="J14" i="47"/>
  <c r="I14" i="47"/>
  <c r="H14" i="47"/>
  <c r="N14" i="47" s="1"/>
  <c r="G14" i="47"/>
  <c r="M14" i="47" s="1"/>
  <c r="L59" i="43"/>
  <c r="K59" i="43"/>
  <c r="J59" i="43"/>
  <c r="I59" i="43"/>
  <c r="H59" i="43"/>
  <c r="N59" i="43" s="1"/>
  <c r="G59" i="43"/>
  <c r="M59" i="43" s="1"/>
  <c r="L57" i="43"/>
  <c r="K57" i="43"/>
  <c r="J57" i="43"/>
  <c r="I57" i="43"/>
  <c r="H57" i="43"/>
  <c r="N57" i="43" s="1"/>
  <c r="G57" i="43"/>
  <c r="M57" i="43" s="1"/>
  <c r="L44" i="43" l="1"/>
  <c r="K44" i="43"/>
  <c r="J44" i="43"/>
  <c r="I44" i="43"/>
  <c r="H44" i="43"/>
  <c r="N44" i="43" s="1"/>
  <c r="G44" i="43"/>
  <c r="M44" i="43" s="1"/>
  <c r="L41" i="43"/>
  <c r="K41" i="43"/>
  <c r="J41" i="43"/>
  <c r="I41" i="43"/>
  <c r="H41" i="43"/>
  <c r="N41" i="43" s="1"/>
  <c r="G41" i="43"/>
  <c r="M41" i="43" s="1"/>
  <c r="L40" i="43"/>
  <c r="K40" i="43"/>
  <c r="J40" i="43"/>
  <c r="I40" i="43"/>
  <c r="H40" i="43"/>
  <c r="N40" i="43" s="1"/>
  <c r="G40" i="43"/>
  <c r="M40" i="43" s="1"/>
  <c r="L26" i="43"/>
  <c r="K26" i="43"/>
  <c r="J26" i="43"/>
  <c r="I26" i="43"/>
  <c r="H26" i="43"/>
  <c r="N26" i="43" s="1"/>
  <c r="G26" i="43"/>
  <c r="M26" i="43" s="1"/>
  <c r="L25" i="43"/>
  <c r="K25" i="43"/>
  <c r="J25" i="43"/>
  <c r="I25" i="43"/>
  <c r="H25" i="43"/>
  <c r="N25" i="43" s="1"/>
  <c r="G25" i="43"/>
  <c r="M25" i="43" s="1"/>
  <c r="L24" i="43"/>
  <c r="K24" i="43"/>
  <c r="J24" i="43"/>
  <c r="I24" i="43"/>
  <c r="H24" i="43"/>
  <c r="N24" i="43" s="1"/>
  <c r="G24" i="43"/>
  <c r="M24" i="43" s="1"/>
  <c r="L30" i="48" l="1"/>
  <c r="K30" i="48"/>
  <c r="J30" i="48"/>
  <c r="I30" i="48"/>
  <c r="H30" i="48"/>
  <c r="N30" i="48" s="1"/>
  <c r="G30" i="48"/>
  <c r="M30" i="48" s="1"/>
  <c r="L56" i="43"/>
  <c r="K56" i="43"/>
  <c r="J56" i="43"/>
  <c r="I56" i="43"/>
  <c r="H56" i="43"/>
  <c r="N56" i="43" s="1"/>
  <c r="G56" i="43"/>
  <c r="M56" i="43" s="1"/>
  <c r="L35" i="48" l="1"/>
  <c r="K35" i="48"/>
  <c r="J35" i="48"/>
  <c r="I35" i="48"/>
  <c r="H35" i="48"/>
  <c r="N35" i="48" s="1"/>
  <c r="G35" i="48"/>
  <c r="M35" i="48" s="1"/>
  <c r="L34" i="48"/>
  <c r="K34" i="48"/>
  <c r="J34" i="48"/>
  <c r="I34" i="48"/>
  <c r="H34" i="48"/>
  <c r="N34" i="48" s="1"/>
  <c r="G34" i="48"/>
  <c r="M34" i="48" s="1"/>
  <c r="L20" i="48"/>
  <c r="K20" i="48"/>
  <c r="J20" i="48"/>
  <c r="I20" i="48"/>
  <c r="H20" i="48"/>
  <c r="N20" i="48" s="1"/>
  <c r="G20" i="48"/>
  <c r="M20" i="48" s="1"/>
  <c r="L19" i="48"/>
  <c r="K19" i="48"/>
  <c r="J19" i="48"/>
  <c r="I19" i="48"/>
  <c r="H19" i="48"/>
  <c r="N19" i="48" s="1"/>
  <c r="G19" i="48"/>
  <c r="M19" i="48" s="1"/>
  <c r="F36" i="48" l="1"/>
  <c r="E36" i="48"/>
  <c r="L36" i="48"/>
  <c r="K36" i="48"/>
  <c r="J36" i="48"/>
  <c r="I36" i="48"/>
  <c r="H36" i="48"/>
  <c r="G36" i="48"/>
  <c r="F28" i="48"/>
  <c r="E28" i="48"/>
  <c r="L27" i="48"/>
  <c r="K27" i="48"/>
  <c r="J27" i="48"/>
  <c r="I27" i="48"/>
  <c r="H27" i="48"/>
  <c r="N27" i="48" s="1"/>
  <c r="G27" i="48"/>
  <c r="M27" i="48" s="1"/>
  <c r="L28" i="48"/>
  <c r="K28" i="48"/>
  <c r="J28" i="48"/>
  <c r="I28" i="48"/>
  <c r="H28" i="48"/>
  <c r="G28" i="48"/>
  <c r="F21" i="48"/>
  <c r="E21" i="48"/>
  <c r="L21" i="48"/>
  <c r="K21" i="48"/>
  <c r="J21" i="48"/>
  <c r="I21" i="48"/>
  <c r="H21" i="48"/>
  <c r="G21" i="48"/>
  <c r="F12" i="48"/>
  <c r="E12" i="48"/>
  <c r="L11" i="48"/>
  <c r="K11" i="48"/>
  <c r="J11" i="48"/>
  <c r="I11" i="48"/>
  <c r="H11" i="48"/>
  <c r="N11" i="48" s="1"/>
  <c r="G11" i="48"/>
  <c r="M11" i="48" s="1"/>
  <c r="L12" i="48"/>
  <c r="K12" i="48"/>
  <c r="J12" i="48"/>
  <c r="I12" i="48"/>
  <c r="H12" i="48"/>
  <c r="G12" i="48"/>
  <c r="L49" i="49"/>
  <c r="K49" i="49"/>
  <c r="J49" i="49"/>
  <c r="I49" i="49"/>
  <c r="H49" i="49"/>
  <c r="N49" i="49" s="1"/>
  <c r="G49" i="49"/>
  <c r="M49" i="49" s="1"/>
  <c r="L48" i="49"/>
  <c r="K48" i="49"/>
  <c r="J48" i="49"/>
  <c r="I48" i="49"/>
  <c r="H48" i="49"/>
  <c r="N48" i="49" s="1"/>
  <c r="G48" i="49"/>
  <c r="M48" i="49" s="1"/>
  <c r="F50" i="49"/>
  <c r="E50" i="49"/>
  <c r="L50" i="49"/>
  <c r="K50" i="49"/>
  <c r="J50" i="49"/>
  <c r="I50" i="49"/>
  <c r="H50" i="49"/>
  <c r="G50" i="49"/>
  <c r="K29" i="49"/>
  <c r="J29" i="49"/>
  <c r="I29" i="49"/>
  <c r="L36" i="49"/>
  <c r="K36" i="49"/>
  <c r="J36" i="49"/>
  <c r="I36" i="49"/>
  <c r="H36" i="49"/>
  <c r="N36" i="49" s="1"/>
  <c r="G36" i="49"/>
  <c r="M36" i="49" s="1"/>
  <c r="L35" i="49"/>
  <c r="L37" i="49" s="1"/>
  <c r="K35" i="49"/>
  <c r="K37" i="49" s="1"/>
  <c r="J35" i="49"/>
  <c r="I35" i="49"/>
  <c r="I37" i="49" s="1"/>
  <c r="H35" i="49"/>
  <c r="N35" i="49" s="1"/>
  <c r="G35" i="49"/>
  <c r="M35" i="49" s="1"/>
  <c r="F12" i="49"/>
  <c r="E12" i="49"/>
  <c r="I12" i="49"/>
  <c r="N12" i="49"/>
  <c r="L12" i="49"/>
  <c r="K12" i="49"/>
  <c r="J12" i="49"/>
  <c r="L19" i="49"/>
  <c r="K19" i="49"/>
  <c r="J19" i="49"/>
  <c r="I19" i="49"/>
  <c r="H19" i="49"/>
  <c r="N19" i="49" s="1"/>
  <c r="G19" i="49"/>
  <c r="M19" i="49" s="1"/>
  <c r="L18" i="49"/>
  <c r="L20" i="49" s="1"/>
  <c r="K18" i="49"/>
  <c r="J18" i="49"/>
  <c r="J20" i="49" s="1"/>
  <c r="I18" i="49"/>
  <c r="H18" i="49"/>
  <c r="N18" i="49" s="1"/>
  <c r="G18" i="49"/>
  <c r="M18" i="49" s="1"/>
  <c r="F37" i="49"/>
  <c r="E37" i="49"/>
  <c r="J37" i="49"/>
  <c r="F29" i="49"/>
  <c r="E29" i="49"/>
  <c r="L29" i="49"/>
  <c r="H29" i="49"/>
  <c r="F20" i="49"/>
  <c r="F23" i="49" s="1"/>
  <c r="E20" i="49"/>
  <c r="E23" i="49" s="1"/>
  <c r="K20" i="49"/>
  <c r="I20" i="49"/>
  <c r="G20" i="49"/>
  <c r="K23" i="49" l="1"/>
  <c r="I23" i="49"/>
  <c r="J23" i="49"/>
  <c r="L23" i="49"/>
  <c r="H20" i="49"/>
  <c r="H37" i="49"/>
  <c r="G29" i="49"/>
  <c r="G37" i="49"/>
  <c r="M12" i="49"/>
  <c r="M12" i="48"/>
  <c r="M21" i="48"/>
  <c r="M28" i="48"/>
  <c r="M36" i="48"/>
  <c r="N12" i="48"/>
  <c r="N21" i="48"/>
  <c r="N28" i="48"/>
  <c r="N36" i="48"/>
  <c r="M50" i="49"/>
  <c r="N50" i="49"/>
  <c r="G12" i="49"/>
  <c r="G23" i="49" s="1"/>
  <c r="H12" i="49"/>
  <c r="M20" i="49"/>
  <c r="M29" i="49"/>
  <c r="M37" i="49"/>
  <c r="N20" i="49"/>
  <c r="N23" i="49" s="1"/>
  <c r="N29" i="49"/>
  <c r="N37" i="49"/>
  <c r="L33" i="47"/>
  <c r="K33" i="47"/>
  <c r="J33" i="47"/>
  <c r="I33" i="47"/>
  <c r="H33" i="47"/>
  <c r="N33" i="47" s="1"/>
  <c r="G33" i="47"/>
  <c r="M33" i="47" s="1"/>
  <c r="L32" i="47"/>
  <c r="K32" i="47"/>
  <c r="J32" i="47"/>
  <c r="I32" i="47"/>
  <c r="H32" i="47"/>
  <c r="N32" i="47" s="1"/>
  <c r="G32" i="47"/>
  <c r="M32" i="47" s="1"/>
  <c r="L30" i="47"/>
  <c r="K30" i="47"/>
  <c r="J30" i="47"/>
  <c r="I30" i="47"/>
  <c r="H30" i="47"/>
  <c r="N30" i="47" s="1"/>
  <c r="G30" i="47"/>
  <c r="M30" i="47" s="1"/>
  <c r="F34" i="47"/>
  <c r="E34" i="47"/>
  <c r="L34" i="47"/>
  <c r="K34" i="47"/>
  <c r="J34" i="47"/>
  <c r="I34" i="47"/>
  <c r="H34" i="47"/>
  <c r="G34" i="47"/>
  <c r="F26" i="47"/>
  <c r="F35" i="47" s="1"/>
  <c r="E26" i="47"/>
  <c r="L26" i="47"/>
  <c r="L35" i="47" s="1"/>
  <c r="K26" i="47"/>
  <c r="K35" i="47" s="1"/>
  <c r="J26" i="47"/>
  <c r="I26" i="47"/>
  <c r="I35" i="47" s="1"/>
  <c r="H26" i="47"/>
  <c r="H35" i="47" s="1"/>
  <c r="G26" i="47"/>
  <c r="G35" i="47" s="1"/>
  <c r="F19" i="47"/>
  <c r="E19" i="47"/>
  <c r="L18" i="47"/>
  <c r="K18" i="47"/>
  <c r="J18" i="47"/>
  <c r="I18" i="47"/>
  <c r="H18" i="47"/>
  <c r="N18" i="47" s="1"/>
  <c r="G18" i="47"/>
  <c r="M18" i="47" s="1"/>
  <c r="L17" i="47"/>
  <c r="K17" i="47"/>
  <c r="J17" i="47"/>
  <c r="I17" i="47"/>
  <c r="H17" i="47"/>
  <c r="N17" i="47" s="1"/>
  <c r="G17" i="47"/>
  <c r="M17" i="47" s="1"/>
  <c r="L19" i="47"/>
  <c r="K19" i="47"/>
  <c r="J19" i="47"/>
  <c r="I19" i="47"/>
  <c r="H19" i="47"/>
  <c r="G19" i="47"/>
  <c r="F12" i="47"/>
  <c r="E12" i="47"/>
  <c r="L12" i="47"/>
  <c r="J12" i="47"/>
  <c r="I12" i="47"/>
  <c r="H12" i="47"/>
  <c r="E35" i="47" l="1"/>
  <c r="J35" i="47"/>
  <c r="M23" i="49"/>
  <c r="H23" i="49"/>
  <c r="H20" i="47"/>
  <c r="J20" i="47"/>
  <c r="L20" i="47"/>
  <c r="F20" i="47"/>
  <c r="I20" i="47"/>
  <c r="E20" i="47"/>
  <c r="M26" i="47"/>
  <c r="M34" i="47"/>
  <c r="M35" i="47" s="1"/>
  <c r="N26" i="47"/>
  <c r="N34" i="47"/>
  <c r="G12" i="47"/>
  <c r="G20" i="47" s="1"/>
  <c r="K12" i="47"/>
  <c r="K20" i="47" s="1"/>
  <c r="M19" i="47"/>
  <c r="N12" i="47"/>
  <c r="N19" i="47"/>
  <c r="F54" i="43"/>
  <c r="F63" i="43" s="1"/>
  <c r="E54" i="43"/>
  <c r="E63" i="43" s="1"/>
  <c r="N35" i="47" l="1"/>
  <c r="N20" i="47"/>
  <c r="M12" i="47"/>
  <c r="M20" i="47" s="1"/>
  <c r="L54" i="43"/>
  <c r="L63" i="43" s="1"/>
  <c r="K54" i="43"/>
  <c r="K63" i="43" s="1"/>
  <c r="J54" i="43"/>
  <c r="J63" i="43" s="1"/>
  <c r="I54" i="43"/>
  <c r="I63" i="43" s="1"/>
  <c r="F38" i="43"/>
  <c r="E38" i="43"/>
  <c r="L38" i="43"/>
  <c r="K38" i="43"/>
  <c r="J38" i="43"/>
  <c r="I38" i="43"/>
  <c r="M38" i="43"/>
  <c r="F22" i="43"/>
  <c r="E22" i="43"/>
  <c r="L22" i="43"/>
  <c r="K22" i="43"/>
  <c r="J22" i="43"/>
  <c r="I22" i="43"/>
  <c r="N22" i="43"/>
  <c r="N54" i="43" l="1"/>
  <c r="N63" i="43" s="1"/>
  <c r="H54" i="43"/>
  <c r="H63" i="43" s="1"/>
  <c r="M54" i="43"/>
  <c r="M63" i="43" s="1"/>
  <c r="G54" i="43"/>
  <c r="G63" i="43" s="1"/>
  <c r="M22" i="43"/>
  <c r="G38" i="43"/>
  <c r="N38" i="43"/>
  <c r="H38" i="43"/>
  <c r="H22" i="43"/>
  <c r="G22" i="43"/>
  <c r="L58" i="43" l="1"/>
  <c r="K58" i="43"/>
  <c r="J58" i="43"/>
  <c r="I58" i="43"/>
  <c r="H58" i="43"/>
  <c r="N58" i="43" s="1"/>
  <c r="G58" i="43"/>
  <c r="M58" i="43" s="1"/>
  <c r="L43" i="43" l="1"/>
  <c r="K43" i="43"/>
  <c r="J43" i="43"/>
  <c r="I43" i="43"/>
  <c r="H43" i="43"/>
  <c r="N43" i="43" s="1"/>
  <c r="G43" i="43"/>
  <c r="M43" i="43" l="1"/>
  <c r="L27" i="43" l="1"/>
  <c r="K27" i="43"/>
  <c r="J27" i="43"/>
  <c r="I27" i="43"/>
  <c r="H27" i="43"/>
  <c r="N27" i="43" s="1"/>
  <c r="G27" i="43"/>
  <c r="M27" i="43" s="1"/>
  <c r="E47" i="43" l="1"/>
  <c r="E48" i="43" s="1"/>
  <c r="L42" i="43"/>
  <c r="K42" i="43"/>
  <c r="J42" i="43"/>
  <c r="I42" i="43"/>
  <c r="H42" i="43"/>
  <c r="N42" i="43" s="1"/>
  <c r="G42" i="43"/>
  <c r="M42" i="43" s="1"/>
  <c r="L28" i="43"/>
  <c r="K28" i="43"/>
  <c r="J28" i="43"/>
  <c r="I28" i="43"/>
  <c r="H28" i="43"/>
  <c r="N28" i="43" s="1"/>
  <c r="G28" i="43"/>
  <c r="M28" i="43" l="1"/>
  <c r="L61" i="43" l="1"/>
  <c r="K61" i="43"/>
  <c r="J61" i="43"/>
  <c r="I61" i="43"/>
  <c r="H61" i="43"/>
  <c r="N61" i="43" s="1"/>
  <c r="G61" i="43"/>
  <c r="M61" i="43" s="1"/>
  <c r="L60" i="43"/>
  <c r="K60" i="43"/>
  <c r="J60" i="43"/>
  <c r="I60" i="43"/>
  <c r="H60" i="43"/>
  <c r="N60" i="43" s="1"/>
  <c r="G60" i="43"/>
  <c r="M60" i="43" s="1"/>
  <c r="L46" i="43"/>
  <c r="K46" i="43"/>
  <c r="J46" i="43"/>
  <c r="I46" i="43"/>
  <c r="H46" i="43"/>
  <c r="N46" i="43" s="1"/>
  <c r="G46" i="43"/>
  <c r="M46" i="43" s="1"/>
  <c r="L45" i="43"/>
  <c r="K45" i="43"/>
  <c r="J45" i="43"/>
  <c r="I45" i="43"/>
  <c r="H45" i="43"/>
  <c r="N45" i="43" s="1"/>
  <c r="G45" i="43"/>
  <c r="M45" i="43" s="1"/>
  <c r="L30" i="43"/>
  <c r="K30" i="43"/>
  <c r="J30" i="43"/>
  <c r="I30" i="43"/>
  <c r="H30" i="43"/>
  <c r="N30" i="43" s="1"/>
  <c r="G30" i="43"/>
  <c r="L29" i="43"/>
  <c r="K29" i="43"/>
  <c r="J29" i="43"/>
  <c r="I29" i="43"/>
  <c r="H29" i="43"/>
  <c r="N29" i="43" s="1"/>
  <c r="G29" i="43"/>
  <c r="M29" i="43" s="1"/>
  <c r="M30" i="43" l="1"/>
  <c r="E31" i="43" l="1"/>
  <c r="E32" i="43" s="1"/>
  <c r="F31" i="43"/>
  <c r="F32" i="43" s="1"/>
  <c r="G31" i="43"/>
  <c r="G32" i="43" s="1"/>
  <c r="H31" i="43"/>
  <c r="H32" i="43" s="1"/>
  <c r="I31" i="43"/>
  <c r="I32" i="43" s="1"/>
  <c r="J31" i="43"/>
  <c r="J32" i="43" s="1"/>
  <c r="K31" i="43"/>
  <c r="K32" i="43" s="1"/>
  <c r="L31" i="43"/>
  <c r="L32" i="43" s="1"/>
  <c r="M31" i="43"/>
  <c r="M32" i="43" s="1"/>
  <c r="N31" i="43"/>
  <c r="N32" i="43" s="1"/>
  <c r="F62" i="43" l="1"/>
  <c r="E62" i="43"/>
  <c r="L62" i="43"/>
  <c r="K62" i="43"/>
  <c r="J62" i="43"/>
  <c r="I62" i="43"/>
  <c r="H62" i="43"/>
  <c r="G62" i="43"/>
  <c r="F47" i="43"/>
  <c r="F48" i="43" s="1"/>
  <c r="L47" i="43"/>
  <c r="L48" i="43" s="1"/>
  <c r="K47" i="43"/>
  <c r="K48" i="43" s="1"/>
  <c r="J47" i="43"/>
  <c r="J48" i="43" s="1"/>
  <c r="I47" i="43"/>
  <c r="I48" i="43" s="1"/>
  <c r="H47" i="43"/>
  <c r="H48" i="43" s="1"/>
  <c r="G47" i="43"/>
  <c r="G48" i="43" s="1"/>
  <c r="M62" i="43" l="1"/>
  <c r="N62" i="43"/>
  <c r="M47" i="43"/>
  <c r="M48" i="43" s="1"/>
  <c r="N47" i="43"/>
  <c r="N48" i="43" s="1"/>
</calcChain>
</file>

<file path=xl/sharedStrings.xml><?xml version="1.0" encoding="utf-8"?>
<sst xmlns="http://schemas.openxmlformats.org/spreadsheetml/2006/main" count="487" uniqueCount="190">
  <si>
    <t>№ рец.</t>
  </si>
  <si>
    <t>Наименование блюда</t>
  </si>
  <si>
    <t>Жиры,гр.</t>
  </si>
  <si>
    <t>Белки,гр.</t>
  </si>
  <si>
    <t>Углеводы,гр.</t>
  </si>
  <si>
    <t>Энергетическая ценность (ккал)</t>
  </si>
  <si>
    <t>Выход,гр.</t>
  </si>
  <si>
    <t>Пищевые вещества.</t>
  </si>
  <si>
    <t>ОБЕД</t>
  </si>
  <si>
    <t>Макаронные изделия отварные</t>
  </si>
  <si>
    <t>ИТОГО  ОБЕД:</t>
  </si>
  <si>
    <t>7-11 лет</t>
  </si>
  <si>
    <t>92/2008г</t>
  </si>
  <si>
    <t>Картофельное пюре</t>
  </si>
  <si>
    <t>Хлеб ржаной</t>
  </si>
  <si>
    <t xml:space="preserve"> </t>
  </si>
  <si>
    <t>2004г</t>
  </si>
  <si>
    <t xml:space="preserve">Сборник рецептур блюд и кулинарных изделий для предприятий общественного питания      </t>
  </si>
  <si>
    <t>2008г</t>
  </si>
  <si>
    <t xml:space="preserve">Сборник  технических нормативов, рецептур блюд и кулинарных изделий для           </t>
  </si>
  <si>
    <t xml:space="preserve">предприятий общественного питания при образовательных учреждениях УР.  Ижевск 2008 г.   </t>
  </si>
  <si>
    <t>2013г</t>
  </si>
  <si>
    <t xml:space="preserve">организации питания детей в дошкольных организациях УР.  Ижевск 2013 г.   </t>
  </si>
  <si>
    <t>97/2008г</t>
  </si>
  <si>
    <t>2021г</t>
  </si>
  <si>
    <t>Единый сборник технологических нормативов, рецептур блюд и кулинарных изделий для детских садов,</t>
  </si>
  <si>
    <t>общеобразовательных школах. Уральский региональный центр питания. Пермь 2021 г. (Под общей редакцией А.Я. Превалова)</t>
  </si>
  <si>
    <t xml:space="preserve">при общеобразовательных школах . Москва 2004г (Под общей редакцией В.Т Лапшиной)   </t>
  </si>
  <si>
    <t>День недели</t>
  </si>
  <si>
    <t xml:space="preserve">УТВЕРЖДАЮ </t>
  </si>
  <si>
    <t>СОГЛАСОВАНО</t>
  </si>
  <si>
    <t>Генеральный директор ООО "Школьное питание"</t>
  </si>
  <si>
    <t>Колеватов Е.С____________</t>
  </si>
  <si>
    <t>12-18 лет</t>
  </si>
  <si>
    <t>457/2021г</t>
  </si>
  <si>
    <t>495/2021г</t>
  </si>
  <si>
    <t>Компот из смеси сухофруктов</t>
  </si>
  <si>
    <t>Неделя: вторая, четвертая</t>
  </si>
  <si>
    <t>Список литературы</t>
  </si>
  <si>
    <t>обед</t>
  </si>
  <si>
    <t>завтрак</t>
  </si>
  <si>
    <t>1 нед.</t>
  </si>
  <si>
    <t>141/2008г</t>
  </si>
  <si>
    <t>Соус томатный</t>
  </si>
  <si>
    <t>100/2021г</t>
  </si>
  <si>
    <t>Рассольник ленинградский</t>
  </si>
  <si>
    <t>176/2013г</t>
  </si>
  <si>
    <t>Жаркое по-домашнему</t>
  </si>
  <si>
    <t>41/2008г</t>
  </si>
  <si>
    <t xml:space="preserve">Щи из свежей капусты с картофелем </t>
  </si>
  <si>
    <t>574/2021г</t>
  </si>
  <si>
    <t>573/2021г</t>
  </si>
  <si>
    <t>Хлеб пшеничный формовой</t>
  </si>
  <si>
    <t>суп гороховый</t>
  </si>
  <si>
    <t>чай с сахаром</t>
  </si>
  <si>
    <t>БЛЮДО</t>
  </si>
  <si>
    <t>напиток</t>
  </si>
  <si>
    <t>закуска</t>
  </si>
  <si>
    <t>суп</t>
  </si>
  <si>
    <t>гарнир</t>
  </si>
  <si>
    <t>рыба</t>
  </si>
  <si>
    <t>мясо</t>
  </si>
  <si>
    <t>птица</t>
  </si>
  <si>
    <t>напиток из шиповника</t>
  </si>
  <si>
    <t>борщ с картофелем</t>
  </si>
  <si>
    <t>496/2021г</t>
  </si>
  <si>
    <t>Напиток из плодов шиповника</t>
  </si>
  <si>
    <t>94/2021г</t>
  </si>
  <si>
    <t>Борщ с картофелем</t>
  </si>
  <si>
    <t>216/2004г</t>
  </si>
  <si>
    <t xml:space="preserve">Картофель тушеный </t>
  </si>
  <si>
    <t>47/2008г</t>
  </si>
  <si>
    <t>Суп картофельный с бобовыми</t>
  </si>
  <si>
    <t>щи</t>
  </si>
  <si>
    <t>птица в соусе с томатом</t>
  </si>
  <si>
    <t>биточки особые</t>
  </si>
  <si>
    <t>суп с макаронными изделиями</t>
  </si>
  <si>
    <t>компот из яблок</t>
  </si>
  <si>
    <t>жаркое по-домашнему</t>
  </si>
  <si>
    <t>гуляш</t>
  </si>
  <si>
    <t>картофельное пюре</t>
  </si>
  <si>
    <t xml:space="preserve">Основное двухнедельное  цикличное меню </t>
  </si>
  <si>
    <t>для организации питания учащихся 7-11 лет, 12 лет и старше</t>
  </si>
  <si>
    <t>тефтели 2-вариант</t>
  </si>
  <si>
    <t>452/2004г</t>
  </si>
  <si>
    <t>Биточки особые</t>
  </si>
  <si>
    <t>202/2021г</t>
  </si>
  <si>
    <t>Каша гречневая рассыпчатая</t>
  </si>
  <si>
    <t>63/2008г</t>
  </si>
  <si>
    <t>Гуляш</t>
  </si>
  <si>
    <t>115/2021г</t>
  </si>
  <si>
    <t>Суп картофельный с клецками</t>
  </si>
  <si>
    <t>39/2008г</t>
  </si>
  <si>
    <t xml:space="preserve">Борщ с капустой и картофелем </t>
  </si>
  <si>
    <t>Чай с сахаром</t>
  </si>
  <si>
    <t>48/2008г</t>
  </si>
  <si>
    <t>Суп крестьянский с крупой</t>
  </si>
  <si>
    <t>суп с клецками</t>
  </si>
  <si>
    <t>ЗАВТРАК</t>
  </si>
  <si>
    <t>ИТОГО ЗАВТРАК: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</si>
  <si>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</si>
  <si>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</si>
  <si>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</si>
  <si>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</si>
  <si>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</si>
  <si>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</si>
  <si>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</si>
  <si>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</si>
  <si>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</si>
  <si>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</si>
  <si>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масло порционно</t>
  </si>
  <si>
    <t>рассольник ленинградский</t>
  </si>
  <si>
    <t>суп-лапша домашняя</t>
  </si>
  <si>
    <t>каша гречневая</t>
  </si>
  <si>
    <t>макароны отварные</t>
  </si>
  <si>
    <t>картофель тушенный</t>
  </si>
  <si>
    <t>котлета рыбная Нептун</t>
  </si>
  <si>
    <t>котлета загадка</t>
  </si>
  <si>
    <t>капуста тушеная с мясом</t>
  </si>
  <si>
    <t>компот из сх/фруктов</t>
  </si>
  <si>
    <t>11 день</t>
  </si>
  <si>
    <t>12 день</t>
  </si>
  <si>
    <t>сыр порционно</t>
  </si>
  <si>
    <t>уха со взбитым яйцом</t>
  </si>
  <si>
    <t>суп крестьянский</t>
  </si>
  <si>
    <t>борщ с картофелем и капустой</t>
  </si>
  <si>
    <t>каша пшеничная/гороховое пюре</t>
  </si>
  <si>
    <t>рис припущенный/плов</t>
  </si>
  <si>
    <t>шницель</t>
  </si>
  <si>
    <t>котлета Школьная</t>
  </si>
  <si>
    <t>76/2008г</t>
  </si>
  <si>
    <t>Котлета "Загадка"</t>
  </si>
  <si>
    <t>88/2008г</t>
  </si>
  <si>
    <t>Котлета рыбная "Нептун"</t>
  </si>
  <si>
    <t>196/2013г</t>
  </si>
  <si>
    <t>Капуста тушеная с мясом</t>
  </si>
  <si>
    <t>128/2021г</t>
  </si>
  <si>
    <t>Суп-лапша домашняя</t>
  </si>
  <si>
    <t>236/2021г</t>
  </si>
  <si>
    <t>Каша рисовая молочная жидкая</t>
  </si>
  <si>
    <t>96/2004г</t>
  </si>
  <si>
    <t>Масло  (порциями)</t>
  </si>
  <si>
    <t>46/2008г</t>
  </si>
  <si>
    <t xml:space="preserve">Суп картофельный с мак. изделиями </t>
  </si>
  <si>
    <r>
      <rPr>
        <sz val="10"/>
        <color theme="1"/>
        <rFont val="Calibri"/>
        <family val="2"/>
        <charset val="204"/>
      </rPr>
      <t>*</t>
    </r>
    <r>
      <rPr>
        <sz val="9"/>
        <color theme="1"/>
        <rFont val="Calibri"/>
        <family val="2"/>
        <charset val="204"/>
      </rPr>
      <t>замена кулинарного изделия</t>
    </r>
  </si>
  <si>
    <t>451/2004г</t>
  </si>
  <si>
    <t>Шницель</t>
  </si>
  <si>
    <t>389/2021г</t>
  </si>
  <si>
    <t>Пюре из гороха с маслом</t>
  </si>
  <si>
    <t>510/2004г</t>
  </si>
  <si>
    <r>
      <t>Каша пшеничная вязкая</t>
    </r>
    <r>
      <rPr>
        <sz val="10"/>
        <color theme="1"/>
        <rFont val="Calibri"/>
        <family val="2"/>
        <charset val="204"/>
      </rPr>
      <t>*</t>
    </r>
  </si>
  <si>
    <t>60/2008г</t>
  </si>
  <si>
    <t>Уха со взбитым яйцом</t>
  </si>
  <si>
    <t>462/2004г</t>
  </si>
  <si>
    <t>Тефтели 2-й вариант</t>
  </si>
  <si>
    <t>Каша гречневая вязкая</t>
  </si>
  <si>
    <t>347/2021г</t>
  </si>
  <si>
    <t>Котлеты "Школьные"</t>
  </si>
  <si>
    <t>94/2008г</t>
  </si>
  <si>
    <t>367/2021г</t>
  </si>
  <si>
    <t>443/2004г</t>
  </si>
  <si>
    <t xml:space="preserve">Плов </t>
  </si>
  <si>
    <r>
      <t>Птица в соусе с томатом</t>
    </r>
    <r>
      <rPr>
        <sz val="10"/>
        <color theme="1"/>
        <rFont val="Calibri"/>
        <family val="2"/>
        <charset val="204"/>
      </rPr>
      <t>*</t>
    </r>
  </si>
  <si>
    <r>
      <t>Рис припущенный</t>
    </r>
    <r>
      <rPr>
        <sz val="10"/>
        <color theme="1"/>
        <rFont val="Calibri"/>
        <family val="2"/>
        <charset val="204"/>
      </rPr>
      <t>*</t>
    </r>
  </si>
  <si>
    <t>235/2021г</t>
  </si>
  <si>
    <t>Каша пшённая молочная жидкая</t>
  </si>
  <si>
    <t>75/2021г</t>
  </si>
  <si>
    <t>Сыр полутвердый (порциями)</t>
  </si>
  <si>
    <t>ИТОГО ЗА ДЕНЬ:</t>
  </si>
  <si>
    <t>160/2004г</t>
  </si>
  <si>
    <t>Суп молочный с макаронными изделиями</t>
  </si>
  <si>
    <t>232/2021г</t>
  </si>
  <si>
    <t>Каша пшеничная молочная жидкая</t>
  </si>
  <si>
    <t>230/2021г</t>
  </si>
  <si>
    <t>Каша манная молочная жидкая</t>
  </si>
  <si>
    <t>Масло сливочное порционно</t>
  </si>
  <si>
    <t>229/2021г</t>
  </si>
  <si>
    <t xml:space="preserve">Каша "Дружба" </t>
  </si>
  <si>
    <t xml:space="preserve">каша </t>
  </si>
  <si>
    <t>каша пшенная</t>
  </si>
  <si>
    <t>суп молочный с мак.изделиями</t>
  </si>
  <si>
    <t>каша рисовая</t>
  </si>
  <si>
    <t>каша пшеничная</t>
  </si>
  <si>
    <t>каша манная</t>
  </si>
  <si>
    <t>масло сливочное</t>
  </si>
  <si>
    <t>каша Дружба</t>
  </si>
  <si>
    <t>213/2021г</t>
  </si>
  <si>
    <t>Директор МКОУ Югдонская СОШ</t>
  </si>
  <si>
    <t>Караваева Н.С.____________</t>
  </si>
  <si>
    <t>в МКОУ Югдонская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</si>
</sst>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3"/>
      <color indexed="8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</font>
    <font>
      <b/>
      <sz val="10"/>
      <color theme="1"/>
      <name val="Calibri"/>
    </font>
    <font>
      <b/>
      <sz val="12"/>
      <color theme="1"/>
      <name val="Calibri"/>
    </font>
    <font>
      <sz val="11"/>
      <name val="Calibri"/>
    </font>
    <font>
      <sz val="10"/>
      <color theme="1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A8D08D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A8D08D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3" fillId="0" borderId="6" xfId="0" applyFont="1" applyBorder="1"/>
    <xf numFmtId="0" fontId="1" fillId="2" borderId="6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" fillId="2" borderId="8" xfId="0" applyFont="1" applyFill="1" applyBorder="1" applyAlignment="1">
      <alignment horizontal="left"/>
    </xf>
    <xf numFmtId="2" fontId="2" fillId="2" borderId="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" fillId="2" borderId="30" xfId="0" applyFont="1" applyFill="1" applyBorder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" fillId="2" borderId="3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8" fillId="0" borderId="0" xfId="0" applyFont="1"/>
    <xf numFmtId="0" fontId="2" fillId="2" borderId="8" xfId="0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9" fillId="0" borderId="0" xfId="0" applyFont="1"/>
    <xf numFmtId="0" fontId="8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16" fillId="2" borderId="38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7" fillId="0" borderId="0" xfId="0" applyFont="1" applyAlignment="1"/>
    <xf numFmtId="0" fontId="0" fillId="0" borderId="0" xfId="0" applyFont="1" applyAlignment="1"/>
    <xf numFmtId="0" fontId="18" fillId="5" borderId="45" xfId="0" applyFont="1" applyFill="1" applyBorder="1" applyAlignment="1">
      <alignment horizontal="center" vertical="center"/>
    </xf>
    <xf numFmtId="0" fontId="19" fillId="5" borderId="46" xfId="0" applyFont="1" applyFill="1" applyBorder="1" applyAlignment="1">
      <alignment horizontal="center" vertical="center"/>
    </xf>
    <xf numFmtId="0" fontId="19" fillId="5" borderId="50" xfId="0" applyFont="1" applyFill="1" applyBorder="1" applyAlignment="1">
      <alignment horizontal="center" vertical="center"/>
    </xf>
    <xf numFmtId="0" fontId="19" fillId="5" borderId="56" xfId="0" applyFont="1" applyFill="1" applyBorder="1" applyAlignment="1">
      <alignment horizontal="center" vertical="center"/>
    </xf>
    <xf numFmtId="0" fontId="19" fillId="5" borderId="58" xfId="0" applyFont="1" applyFill="1" applyBorder="1" applyAlignment="1">
      <alignment horizontal="center" vertical="center"/>
    </xf>
    <xf numFmtId="0" fontId="19" fillId="5" borderId="62" xfId="0" applyFont="1" applyFill="1" applyBorder="1" applyAlignment="1">
      <alignment horizontal="center" vertical="center"/>
    </xf>
    <xf numFmtId="0" fontId="19" fillId="5" borderId="64" xfId="0" applyFont="1" applyFill="1" applyBorder="1" applyAlignment="1">
      <alignment horizontal="center" vertical="center"/>
    </xf>
    <xf numFmtId="0" fontId="8" fillId="4" borderId="0" xfId="0" applyFont="1" applyFill="1"/>
    <xf numFmtId="0" fontId="2" fillId="2" borderId="24" xfId="0" applyFont="1" applyFill="1" applyBorder="1" applyAlignment="1">
      <alignment vertical="center" textRotation="90"/>
    </xf>
    <xf numFmtId="0" fontId="2" fillId="2" borderId="25" xfId="0" applyFont="1" applyFill="1" applyBorder="1" applyAlignment="1">
      <alignment vertical="center" textRotation="90"/>
    </xf>
    <xf numFmtId="0" fontId="1" fillId="0" borderId="1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3" borderId="2" xfId="0" applyFont="1" applyFill="1" applyBorder="1" applyAlignment="1">
      <alignment horizontal="center"/>
    </xf>
    <xf numFmtId="0" fontId="2" fillId="2" borderId="25" xfId="0" applyFont="1" applyFill="1" applyBorder="1" applyAlignment="1">
      <alignment vertical="center" textRotation="90"/>
    </xf>
    <xf numFmtId="0" fontId="2" fillId="2" borderId="25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center"/>
    </xf>
    <xf numFmtId="1" fontId="2" fillId="3" borderId="38" xfId="0" applyNumberFormat="1" applyFont="1" applyFill="1" applyBorder="1" applyAlignment="1">
      <alignment horizontal="center"/>
    </xf>
    <xf numFmtId="2" fontId="2" fillId="2" borderId="38" xfId="0" applyNumberFormat="1" applyFont="1" applyFill="1" applyBorder="1" applyAlignment="1">
      <alignment horizontal="center"/>
    </xf>
    <xf numFmtId="2" fontId="2" fillId="3" borderId="38" xfId="0" applyNumberFormat="1" applyFont="1" applyFill="1" applyBorder="1" applyAlignment="1">
      <alignment horizontal="center"/>
    </xf>
    <xf numFmtId="2" fontId="2" fillId="3" borderId="39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" fillId="2" borderId="7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2" fillId="3" borderId="72" xfId="0" applyNumberFormat="1" applyFont="1" applyFill="1" applyBorder="1" applyAlignment="1">
      <alignment horizontal="center"/>
    </xf>
    <xf numFmtId="1" fontId="2" fillId="3" borderId="2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9" fillId="5" borderId="42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49" fontId="19" fillId="10" borderId="22" xfId="0" applyNumberFormat="1" applyFont="1" applyFill="1" applyBorder="1" applyAlignment="1">
      <alignment horizontal="center" vertical="center"/>
    </xf>
    <xf numFmtId="49" fontId="19" fillId="10" borderId="76" xfId="0" applyNumberFormat="1" applyFont="1" applyFill="1" applyBorder="1" applyAlignment="1">
      <alignment horizontal="center" vertical="center"/>
    </xf>
    <xf numFmtId="49" fontId="21" fillId="10" borderId="22" xfId="0" applyNumberFormat="1" applyFont="1" applyFill="1" applyBorder="1" applyAlignment="1">
      <alignment horizontal="center" vertical="center"/>
    </xf>
    <xf numFmtId="49" fontId="21" fillId="10" borderId="40" xfId="0" applyNumberFormat="1" applyFont="1" applyFill="1" applyBorder="1" applyAlignment="1">
      <alignment horizontal="center" vertical="center"/>
    </xf>
    <xf numFmtId="49" fontId="21" fillId="10" borderId="2" xfId="0" applyNumberFormat="1" applyFont="1" applyFill="1" applyBorder="1" applyAlignment="1">
      <alignment horizontal="center" vertical="center"/>
    </xf>
    <xf numFmtId="49" fontId="21" fillId="10" borderId="70" xfId="0" applyNumberFormat="1" applyFont="1" applyFill="1" applyBorder="1" applyAlignment="1">
      <alignment horizontal="center" vertical="center"/>
    </xf>
    <xf numFmtId="49" fontId="21" fillId="10" borderId="1" xfId="0" applyNumberFormat="1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49" fontId="21" fillId="10" borderId="68" xfId="0" applyNumberFormat="1" applyFont="1" applyFill="1" applyBorder="1" applyAlignment="1">
      <alignment horizontal="center" vertical="center"/>
    </xf>
    <xf numFmtId="0" fontId="18" fillId="10" borderId="73" xfId="0" applyFont="1" applyFill="1" applyBorder="1" applyAlignment="1">
      <alignment horizontal="center" vertical="center"/>
    </xf>
    <xf numFmtId="0" fontId="18" fillId="10" borderId="75" xfId="0" applyFont="1" applyFill="1" applyBorder="1" applyAlignment="1">
      <alignment horizontal="center" vertical="center"/>
    </xf>
    <xf numFmtId="0" fontId="18" fillId="10" borderId="71" xfId="0" applyFont="1" applyFill="1" applyBorder="1" applyAlignment="1">
      <alignment horizontal="center" vertical="center"/>
    </xf>
    <xf numFmtId="49" fontId="21" fillId="10" borderId="14" xfId="0" applyNumberFormat="1" applyFont="1" applyFill="1" applyBorder="1" applyAlignment="1">
      <alignment horizontal="center" vertical="center"/>
    </xf>
    <xf numFmtId="49" fontId="21" fillId="10" borderId="74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49" fontId="21" fillId="10" borderId="41" xfId="0" applyNumberFormat="1" applyFont="1" applyFill="1" applyBorder="1" applyAlignment="1">
      <alignment horizontal="center" vertical="center"/>
    </xf>
    <xf numFmtId="49" fontId="21" fillId="10" borderId="9" xfId="0" applyNumberFormat="1" applyFont="1" applyFill="1" applyBorder="1" applyAlignment="1">
      <alignment horizontal="center" vertical="center"/>
    </xf>
    <xf numFmtId="49" fontId="21" fillId="10" borderId="78" xfId="0" applyNumberFormat="1" applyFont="1" applyFill="1" applyBorder="1" applyAlignment="1">
      <alignment horizontal="center" vertical="center"/>
    </xf>
    <xf numFmtId="49" fontId="19" fillId="10" borderId="40" xfId="0" applyNumberFormat="1" applyFont="1" applyFill="1" applyBorder="1" applyAlignment="1">
      <alignment horizontal="center" vertical="center"/>
    </xf>
    <xf numFmtId="49" fontId="21" fillId="10" borderId="2" xfId="0" applyNumberFormat="1" applyFont="1" applyFill="1" applyBorder="1" applyAlignment="1">
      <alignment horizontal="center" vertical="center" wrapText="1"/>
    </xf>
    <xf numFmtId="49" fontId="21" fillId="10" borderId="41" xfId="0" applyNumberFormat="1" applyFont="1" applyFill="1" applyBorder="1" applyAlignment="1">
      <alignment horizontal="center" vertical="center" wrapText="1"/>
    </xf>
    <xf numFmtId="0" fontId="17" fillId="7" borderId="65" xfId="0" applyFont="1" applyFill="1" applyBorder="1" applyAlignment="1">
      <alignment horizontal="center" wrapText="1"/>
    </xf>
    <xf numFmtId="0" fontId="20" fillId="2" borderId="67" xfId="0" applyFont="1" applyFill="1" applyBorder="1"/>
    <xf numFmtId="0" fontId="17" fillId="7" borderId="54" xfId="0" applyFont="1" applyFill="1" applyBorder="1" applyAlignment="1">
      <alignment horizontal="center" wrapText="1"/>
    </xf>
    <xf numFmtId="0" fontId="20" fillId="2" borderId="55" xfId="0" applyFont="1" applyFill="1" applyBorder="1"/>
    <xf numFmtId="0" fontId="17" fillId="9" borderId="54" xfId="0" applyFont="1" applyFill="1" applyBorder="1" applyAlignment="1">
      <alignment horizontal="center" wrapText="1"/>
    </xf>
    <xf numFmtId="0" fontId="20" fillId="9" borderId="55" xfId="0" applyFont="1" applyFill="1" applyBorder="1"/>
    <xf numFmtId="0" fontId="20" fillId="2" borderId="57" xfId="0" applyFont="1" applyFill="1" applyBorder="1"/>
    <xf numFmtId="0" fontId="17" fillId="7" borderId="54" xfId="0" applyFont="1" applyFill="1" applyBorder="1" applyAlignment="1">
      <alignment horizontal="center"/>
    </xf>
    <xf numFmtId="0" fontId="17" fillId="7" borderId="59" xfId="0" applyFont="1" applyFill="1" applyBorder="1" applyAlignment="1">
      <alignment horizontal="center" wrapText="1"/>
    </xf>
    <xf numFmtId="0" fontId="20" fillId="2" borderId="60" xfId="0" applyFont="1" applyFill="1" applyBorder="1"/>
    <xf numFmtId="0" fontId="21" fillId="7" borderId="59" xfId="0" applyFont="1" applyFill="1" applyBorder="1" applyAlignment="1">
      <alignment horizontal="center" wrapText="1"/>
    </xf>
    <xf numFmtId="0" fontId="20" fillId="2" borderId="61" xfId="0" applyFont="1" applyFill="1" applyBorder="1"/>
    <xf numFmtId="0" fontId="21" fillId="7" borderId="54" xfId="0" applyFont="1" applyFill="1" applyBorder="1" applyAlignment="1">
      <alignment horizontal="center" wrapText="1"/>
    </xf>
    <xf numFmtId="0" fontId="21" fillId="7" borderId="57" xfId="0" applyFont="1" applyFill="1" applyBorder="1" applyAlignment="1">
      <alignment horizontal="center" wrapText="1"/>
    </xf>
    <xf numFmtId="0" fontId="17" fillId="9" borderId="51" xfId="0" applyFont="1" applyFill="1" applyBorder="1" applyAlignment="1">
      <alignment horizontal="center" wrapText="1"/>
    </xf>
    <xf numFmtId="0" fontId="20" fillId="2" borderId="53" xfId="0" applyFont="1" applyFill="1" applyBorder="1"/>
    <xf numFmtId="0" fontId="17" fillId="8" borderId="54" xfId="0" applyFont="1" applyFill="1" applyBorder="1" applyAlignment="1">
      <alignment horizontal="center" wrapText="1"/>
    </xf>
    <xf numFmtId="0" fontId="17" fillId="7" borderId="54" xfId="0" applyFont="1" applyFill="1" applyBorder="1" applyAlignment="1">
      <alignment horizontal="center"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0" fillId="2" borderId="55" xfId="0" applyFont="1" applyFill="1" applyBorder="1" applyAlignment="1">
      <alignment vertical="center"/>
    </xf>
    <xf numFmtId="0" fontId="21" fillId="7" borderId="54" xfId="0" applyFont="1" applyFill="1" applyBorder="1" applyAlignment="1">
      <alignment horizontal="center" vertical="center"/>
    </xf>
    <xf numFmtId="49" fontId="17" fillId="7" borderId="51" xfId="0" applyNumberFormat="1" applyFont="1" applyFill="1" applyBorder="1" applyAlignment="1">
      <alignment horizontal="center"/>
    </xf>
    <xf numFmtId="0" fontId="20" fillId="2" borderId="52" xfId="0" applyFont="1" applyFill="1" applyBorder="1"/>
    <xf numFmtId="0" fontId="17" fillId="7" borderId="51" xfId="0" applyFont="1" applyFill="1" applyBorder="1" applyAlignment="1">
      <alignment horizontal="center" wrapText="1"/>
    </xf>
    <xf numFmtId="0" fontId="17" fillId="9" borderId="53" xfId="0" applyFont="1" applyFill="1" applyBorder="1" applyAlignment="1">
      <alignment horizontal="center" wrapText="1"/>
    </xf>
    <xf numFmtId="49" fontId="19" fillId="5" borderId="47" xfId="0" applyNumberFormat="1" applyFont="1" applyFill="1" applyBorder="1" applyAlignment="1">
      <alignment horizontal="center" vertical="center"/>
    </xf>
    <xf numFmtId="0" fontId="20" fillId="6" borderId="77" xfId="0" applyFont="1" applyFill="1" applyBorder="1"/>
    <xf numFmtId="0" fontId="18" fillId="7" borderId="49" xfId="0" applyFont="1" applyFill="1" applyBorder="1" applyAlignment="1">
      <alignment horizontal="center" vertical="center"/>
    </xf>
    <xf numFmtId="0" fontId="20" fillId="0" borderId="49" xfId="0" applyFont="1" applyBorder="1" applyAlignment="1"/>
    <xf numFmtId="0" fontId="21" fillId="2" borderId="42" xfId="0" applyFont="1" applyFill="1" applyBorder="1" applyAlignment="1">
      <alignment horizontal="center"/>
    </xf>
    <xf numFmtId="0" fontId="17" fillId="2" borderId="43" xfId="0" applyFont="1" applyFill="1" applyBorder="1" applyAlignment="1">
      <alignment horizontal="center"/>
    </xf>
    <xf numFmtId="0" fontId="17" fillId="2" borderId="1" xfId="0" applyFont="1" applyFill="1" applyBorder="1" applyAlignment="1"/>
    <xf numFmtId="0" fontId="17" fillId="2" borderId="12" xfId="0" applyFont="1" applyFill="1" applyBorder="1" applyAlignment="1"/>
    <xf numFmtId="0" fontId="21" fillId="2" borderId="1" xfId="0" applyFont="1" applyFill="1" applyBorder="1" applyAlignment="1"/>
    <xf numFmtId="0" fontId="21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20" fillId="6" borderId="48" xfId="0" applyFont="1" applyFill="1" applyBorder="1"/>
    <xf numFmtId="0" fontId="20" fillId="6" borderId="44" xfId="0" applyFont="1" applyFill="1" applyBorder="1"/>
    <xf numFmtId="49" fontId="17" fillId="8" borderId="51" xfId="0" applyNumberFormat="1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 wrapText="1"/>
    </xf>
    <xf numFmtId="0" fontId="20" fillId="2" borderId="57" xfId="0" applyFont="1" applyFill="1" applyBorder="1" applyAlignment="1">
      <alignment vertical="center"/>
    </xf>
    <xf numFmtId="0" fontId="20" fillId="0" borderId="63" xfId="0" applyFont="1" applyBorder="1" applyAlignment="1"/>
    <xf numFmtId="0" fontId="17" fillId="7" borderId="59" xfId="0" applyFont="1" applyFill="1" applyBorder="1" applyAlignment="1">
      <alignment horizontal="center" vertical="center" wrapText="1"/>
    </xf>
    <xf numFmtId="0" fontId="17" fillId="7" borderId="60" xfId="0" applyFont="1" applyFill="1" applyBorder="1" applyAlignment="1">
      <alignment horizontal="center" vertical="center" wrapText="1"/>
    </xf>
    <xf numFmtId="0" fontId="17" fillId="7" borderId="51" xfId="0" applyFont="1" applyFill="1" applyBorder="1" applyAlignment="1">
      <alignment horizontal="center" vertical="center" wrapText="1"/>
    </xf>
    <xf numFmtId="0" fontId="17" fillId="7" borderId="5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49" fontId="17" fillId="7" borderId="51" xfId="0" applyNumberFormat="1" applyFont="1" applyFill="1" applyBorder="1" applyAlignment="1">
      <alignment horizontal="center" vertical="center" wrapText="1"/>
    </xf>
    <xf numFmtId="0" fontId="20" fillId="2" borderId="66" xfId="0" applyFont="1" applyFill="1" applyBorder="1"/>
    <xf numFmtId="0" fontId="21" fillId="7" borderId="65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vertical="center" textRotation="90"/>
    </xf>
    <xf numFmtId="0" fontId="2" fillId="2" borderId="25" xfId="0" applyFont="1" applyFill="1" applyBorder="1" applyAlignment="1">
      <alignment vertical="center" textRotation="90"/>
    </xf>
    <xf numFmtId="0" fontId="2" fillId="2" borderId="26" xfId="0" applyFont="1" applyFill="1" applyBorder="1" applyAlignment="1">
      <alignment vertical="center" textRotation="90"/>
    </xf>
    <xf numFmtId="0" fontId="2" fillId="2" borderId="2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7" fillId="3" borderId="17" xfId="0" applyFont="1" applyFill="1" applyBorder="1" applyAlignment="1">
      <alignment vertical="center" textRotation="90"/>
    </xf>
    <xf numFmtId="0" fontId="7" fillId="3" borderId="18" xfId="0" applyFont="1" applyFill="1" applyBorder="1" applyAlignment="1">
      <alignment vertical="center" textRotation="90"/>
    </xf>
    <xf numFmtId="0" fontId="7" fillId="3" borderId="19" xfId="0" applyFont="1" applyFill="1" applyBorder="1" applyAlignment="1">
      <alignment vertical="center" textRotation="90"/>
    </xf>
    <xf numFmtId="0" fontId="2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textRotation="90"/>
    </xf>
    <xf numFmtId="0" fontId="22" fillId="2" borderId="25" xfId="0" applyFont="1" applyFill="1" applyBorder="1" applyAlignment="1">
      <alignment horizontal="center" vertical="center" textRotation="90"/>
    </xf>
    <xf numFmtId="0" fontId="22" fillId="2" borderId="26" xfId="0" applyFont="1" applyFill="1" applyBorder="1" applyAlignment="1">
      <alignment horizontal="center" vertical="center" textRotation="90"/>
    </xf>
    <xf numFmtId="0" fontId="2" fillId="2" borderId="24" xfId="0" applyFont="1" applyFill="1" applyBorder="1" applyAlignment="1">
      <alignment horizontal="center" vertical="center" textRotation="90"/>
    </xf>
    <xf numFmtId="0" fontId="2" fillId="2" borderId="25" xfId="0" applyFont="1" applyFill="1" applyBorder="1" applyAlignment="1">
      <alignment horizontal="center" vertical="center" textRotation="90"/>
    </xf>
    <xf numFmtId="0" fontId="2" fillId="2" borderId="26" xfId="0" applyFont="1" applyFill="1" applyBorder="1" applyAlignment="1">
      <alignment horizontal="center" vertical="center" textRotation="90"/>
    </xf>
    <xf numFmtId="0" fontId="21" fillId="2" borderId="69" xfId="0" applyFont="1" applyFill="1" applyBorder="1" applyAlignment="1">
      <alignment horizontal="center"/>
    </xf>
    <xf numFmtId="0" fontId="1" fillId="2" borderId="68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99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86"/>
  <sheetViews>
    <sheetView tabSelected="1" zoomScale="90" zoomScaleNormal="90" workbookViewId="0">
      <selection activeCell="R10" sqref="R10"/>
    </sheetView>
  </sheetViews>
  <sheetFormatPr defaultColWidth="14.42578125" defaultRowHeight="15" x14ac:dyDescent="0.25"/>
  <cols>
    <col min="1" max="1" width="6.28515625" style="79" customWidth="1"/>
    <col min="2" max="2" width="7.5703125" style="79" customWidth="1"/>
    <col min="3" max="3" width="11.42578125" style="79" customWidth="1"/>
    <col min="4" max="4" width="11" style="79" customWidth="1"/>
    <col min="5" max="5" width="17.140625" style="79" customWidth="1"/>
    <col min="6" max="7" width="12.7109375" style="79" customWidth="1"/>
    <col min="8" max="8" width="12.85546875" style="79" customWidth="1"/>
    <col min="9" max="9" width="11.28515625" style="79" customWidth="1"/>
    <col min="10" max="10" width="14.140625" style="79" customWidth="1"/>
    <col min="11" max="11" width="12" style="79" customWidth="1"/>
    <col min="12" max="12" width="9.140625" style="79" customWidth="1"/>
    <col min="13" max="13" width="17.85546875" style="79" customWidth="1"/>
    <col min="14" max="14" width="12" style="79" customWidth="1"/>
    <col min="15" max="15" width="11.7109375" style="79" customWidth="1"/>
    <col min="16" max="24" width="8" style="79" customWidth="1"/>
    <col min="25" max="16384" width="14.42578125" style="79"/>
  </cols>
  <sheetData>
    <row r="1" spans="1:24" ht="23.25" customHeight="1" thickBot="1" x14ac:dyDescent="0.3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ht="16.5" customHeight="1" thickBot="1" x14ac:dyDescent="0.3">
      <c r="A2" s="78"/>
      <c r="B2" s="80" t="s">
        <v>41</v>
      </c>
      <c r="C2" s="81" t="s">
        <v>55</v>
      </c>
      <c r="D2" s="175" t="s">
        <v>100</v>
      </c>
      <c r="E2" s="186"/>
      <c r="F2" s="175" t="s">
        <v>101</v>
      </c>
      <c r="G2" s="186"/>
      <c r="H2" s="175" t="s">
        <v>102</v>
      </c>
      <c r="I2" s="186"/>
      <c r="J2" s="175" t="s">
        <v>103</v>
      </c>
      <c r="K2" s="186"/>
      <c r="L2" s="175" t="s">
        <v>104</v>
      </c>
      <c r="M2" s="187"/>
      <c r="N2" s="175" t="s">
        <v>105</v>
      </c>
      <c r="O2" s="176"/>
      <c r="P2" s="78"/>
      <c r="Q2" s="78"/>
      <c r="R2" s="78"/>
      <c r="S2" s="78"/>
      <c r="T2" s="78"/>
      <c r="U2" s="78"/>
      <c r="V2" s="78"/>
      <c r="W2" s="78"/>
      <c r="X2" s="78"/>
    </row>
    <row r="3" spans="1:24" ht="21.75" customHeight="1" x14ac:dyDescent="0.25">
      <c r="A3" s="78"/>
      <c r="B3" s="137" t="s">
        <v>40</v>
      </c>
      <c r="C3" s="120" t="s">
        <v>57</v>
      </c>
      <c r="D3" s="145" t="s">
        <v>184</v>
      </c>
      <c r="E3" s="146"/>
      <c r="F3" s="145" t="s">
        <v>122</v>
      </c>
      <c r="G3" s="146"/>
      <c r="H3" s="145" t="s">
        <v>184</v>
      </c>
      <c r="I3" s="146"/>
      <c r="J3" s="145" t="s">
        <v>184</v>
      </c>
      <c r="K3" s="146"/>
      <c r="L3" s="145" t="s">
        <v>122</v>
      </c>
      <c r="M3" s="146"/>
      <c r="N3" s="131" t="s">
        <v>110</v>
      </c>
      <c r="O3" s="132"/>
      <c r="P3" s="78"/>
      <c r="Q3" s="78"/>
      <c r="R3" s="78"/>
      <c r="S3" s="78"/>
      <c r="T3" s="78"/>
      <c r="U3" s="78"/>
      <c r="V3" s="78"/>
      <c r="W3" s="78"/>
      <c r="X3" s="78"/>
    </row>
    <row r="4" spans="1:24" ht="25.5" customHeight="1" x14ac:dyDescent="0.25">
      <c r="A4" s="78"/>
      <c r="B4" s="137"/>
      <c r="C4" s="121" t="s">
        <v>178</v>
      </c>
      <c r="D4" s="128" t="s">
        <v>179</v>
      </c>
      <c r="E4" s="144"/>
      <c r="F4" s="148" t="s">
        <v>180</v>
      </c>
      <c r="G4" s="149"/>
      <c r="H4" s="128" t="s">
        <v>181</v>
      </c>
      <c r="I4" s="144"/>
      <c r="J4" s="128" t="s">
        <v>182</v>
      </c>
      <c r="K4" s="144"/>
      <c r="L4" s="128" t="s">
        <v>183</v>
      </c>
      <c r="M4" s="144"/>
      <c r="N4" s="133" t="s">
        <v>185</v>
      </c>
      <c r="O4" s="134"/>
      <c r="P4" s="78"/>
      <c r="Q4" s="78"/>
      <c r="R4" s="78"/>
      <c r="S4" s="78"/>
      <c r="T4" s="78"/>
      <c r="U4" s="78"/>
      <c r="V4" s="78"/>
      <c r="W4" s="78"/>
      <c r="X4" s="78"/>
    </row>
    <row r="5" spans="1:24" ht="16.5" customHeight="1" x14ac:dyDescent="0.25">
      <c r="A5" s="78"/>
      <c r="B5" s="137"/>
      <c r="C5" s="121" t="s">
        <v>56</v>
      </c>
      <c r="D5" s="130" t="s">
        <v>54</v>
      </c>
      <c r="E5" s="130"/>
      <c r="F5" s="130" t="s">
        <v>54</v>
      </c>
      <c r="G5" s="130"/>
      <c r="H5" s="130" t="s">
        <v>54</v>
      </c>
      <c r="I5" s="130"/>
      <c r="J5" s="130" t="s">
        <v>54</v>
      </c>
      <c r="K5" s="130"/>
      <c r="L5" s="130" t="s">
        <v>54</v>
      </c>
      <c r="M5" s="130"/>
      <c r="N5" s="135" t="s">
        <v>54</v>
      </c>
      <c r="O5" s="129"/>
      <c r="P5" s="78"/>
      <c r="Q5" s="78"/>
      <c r="R5" s="78"/>
      <c r="S5" s="78"/>
      <c r="T5" s="78"/>
      <c r="U5" s="78"/>
      <c r="V5" s="78"/>
      <c r="W5" s="78"/>
      <c r="X5" s="78"/>
    </row>
    <row r="6" spans="1:24" ht="16.5" customHeight="1" thickBot="1" x14ac:dyDescent="0.3">
      <c r="A6" s="78"/>
      <c r="B6" s="138"/>
      <c r="C6" s="122"/>
      <c r="D6" s="124"/>
      <c r="E6" s="147"/>
      <c r="F6" s="124"/>
      <c r="G6" s="147"/>
      <c r="H6" s="124"/>
      <c r="I6" s="147"/>
      <c r="J6" s="124"/>
      <c r="K6" s="147"/>
      <c r="L6" s="124"/>
      <c r="M6" s="147"/>
      <c r="N6" s="124"/>
      <c r="O6" s="125"/>
      <c r="P6" s="78"/>
      <c r="Q6" s="78"/>
      <c r="R6" s="78"/>
      <c r="S6" s="78"/>
      <c r="T6" s="78"/>
      <c r="U6" s="78"/>
      <c r="V6" s="78"/>
      <c r="W6" s="78"/>
      <c r="X6" s="78"/>
    </row>
    <row r="7" spans="1:24" ht="18.75" customHeight="1" x14ac:dyDescent="0.25">
      <c r="A7" s="78"/>
      <c r="B7" s="177" t="s">
        <v>39</v>
      </c>
      <c r="C7" s="82" t="s">
        <v>57</v>
      </c>
      <c r="D7" s="189"/>
      <c r="E7" s="172"/>
      <c r="F7" s="171"/>
      <c r="G7" s="172"/>
      <c r="H7" s="171"/>
      <c r="I7" s="172"/>
      <c r="J7" s="173"/>
      <c r="K7" s="172"/>
      <c r="L7" s="188"/>
      <c r="M7" s="165"/>
      <c r="N7" s="179"/>
      <c r="O7" s="180"/>
      <c r="P7" s="78"/>
      <c r="Q7" s="78"/>
      <c r="R7" s="78"/>
      <c r="S7" s="78"/>
      <c r="T7" s="78"/>
      <c r="U7" s="78"/>
      <c r="V7" s="78"/>
      <c r="W7" s="78"/>
      <c r="X7" s="78"/>
    </row>
    <row r="8" spans="1:24" ht="18" customHeight="1" x14ac:dyDescent="0.25">
      <c r="A8" s="78"/>
      <c r="B8" s="178"/>
      <c r="C8" s="82" t="s">
        <v>58</v>
      </c>
      <c r="D8" s="154" t="s">
        <v>73</v>
      </c>
      <c r="E8" s="153"/>
      <c r="F8" s="174" t="s">
        <v>111</v>
      </c>
      <c r="G8" s="172"/>
      <c r="H8" s="154" t="s">
        <v>64</v>
      </c>
      <c r="I8" s="153"/>
      <c r="J8" s="164" t="s">
        <v>97</v>
      </c>
      <c r="K8" s="172"/>
      <c r="L8" s="164" t="s">
        <v>112</v>
      </c>
      <c r="M8" s="165"/>
      <c r="N8" s="181"/>
      <c r="O8" s="182"/>
      <c r="P8" s="78"/>
      <c r="Q8" s="78"/>
      <c r="R8" s="78"/>
      <c r="S8" s="78"/>
      <c r="T8" s="78"/>
      <c r="U8" s="78"/>
      <c r="V8" s="78"/>
      <c r="W8" s="78"/>
      <c r="X8" s="78"/>
    </row>
    <row r="9" spans="1:24" ht="15.75" customHeight="1" x14ac:dyDescent="0.25">
      <c r="A9" s="78"/>
      <c r="B9" s="178"/>
      <c r="C9" s="83" t="s">
        <v>59</v>
      </c>
      <c r="D9" s="152" t="s">
        <v>113</v>
      </c>
      <c r="E9" s="153"/>
      <c r="F9" s="152" t="s">
        <v>80</v>
      </c>
      <c r="G9" s="153"/>
      <c r="H9" s="152" t="s">
        <v>114</v>
      </c>
      <c r="I9" s="153"/>
      <c r="J9" s="166"/>
      <c r="K9" s="153"/>
      <c r="L9" s="152" t="s">
        <v>115</v>
      </c>
      <c r="M9" s="156"/>
      <c r="N9" s="183"/>
      <c r="O9" s="182"/>
      <c r="P9" s="78"/>
      <c r="Q9" s="78"/>
      <c r="R9" s="78"/>
      <c r="S9" s="78"/>
      <c r="T9" s="78"/>
      <c r="U9" s="78"/>
      <c r="V9" s="78"/>
      <c r="W9" s="78"/>
      <c r="X9" s="78"/>
    </row>
    <row r="10" spans="1:24" ht="15.75" customHeight="1" x14ac:dyDescent="0.25">
      <c r="A10" s="78"/>
      <c r="B10" s="178"/>
      <c r="C10" s="83" t="s">
        <v>60</v>
      </c>
      <c r="D10" s="157"/>
      <c r="E10" s="153"/>
      <c r="F10" s="152" t="s">
        <v>116</v>
      </c>
      <c r="G10" s="153"/>
      <c r="H10" s="152"/>
      <c r="I10" s="153"/>
      <c r="J10" s="152"/>
      <c r="K10" s="153"/>
      <c r="L10" s="152"/>
      <c r="M10" s="156"/>
      <c r="N10" s="181"/>
      <c r="O10" s="182"/>
      <c r="P10" s="78"/>
      <c r="Q10" s="78"/>
      <c r="R10" s="78"/>
      <c r="S10" s="78"/>
      <c r="T10" s="78"/>
      <c r="U10" s="78"/>
      <c r="V10" s="78"/>
      <c r="W10" s="78"/>
      <c r="X10" s="78"/>
    </row>
    <row r="11" spans="1:24" ht="25.5" customHeight="1" x14ac:dyDescent="0.25">
      <c r="A11" s="78"/>
      <c r="B11" s="178"/>
      <c r="C11" s="83" t="s">
        <v>61</v>
      </c>
      <c r="D11" s="167" t="s">
        <v>117</v>
      </c>
      <c r="E11" s="153"/>
      <c r="F11" s="168"/>
      <c r="G11" s="169"/>
      <c r="H11" s="168" t="s">
        <v>79</v>
      </c>
      <c r="I11" s="169"/>
      <c r="J11" s="170" t="s">
        <v>118</v>
      </c>
      <c r="K11" s="169"/>
      <c r="L11" s="167" t="s">
        <v>75</v>
      </c>
      <c r="M11" s="190"/>
      <c r="N11" s="181"/>
      <c r="O11" s="182"/>
      <c r="P11" s="78"/>
      <c r="Q11" s="78"/>
      <c r="R11" s="78"/>
      <c r="S11" s="78"/>
      <c r="T11" s="78"/>
      <c r="U11" s="78"/>
      <c r="V11" s="78"/>
      <c r="W11" s="78"/>
      <c r="X11" s="78"/>
    </row>
    <row r="12" spans="1:24" ht="15.75" customHeight="1" x14ac:dyDescent="0.25">
      <c r="A12" s="78"/>
      <c r="B12" s="178"/>
      <c r="C12" s="83" t="s">
        <v>62</v>
      </c>
      <c r="D12" s="152"/>
      <c r="E12" s="153"/>
      <c r="F12" s="152"/>
      <c r="G12" s="153"/>
      <c r="H12" s="157"/>
      <c r="I12" s="153"/>
      <c r="J12" s="152"/>
      <c r="K12" s="153"/>
      <c r="L12" s="157"/>
      <c r="M12" s="156"/>
      <c r="N12" s="181"/>
      <c r="O12" s="182"/>
      <c r="P12" s="78"/>
      <c r="Q12" s="78"/>
      <c r="R12" s="78"/>
      <c r="S12" s="78"/>
      <c r="T12" s="78"/>
      <c r="U12" s="78"/>
      <c r="V12" s="78"/>
      <c r="W12" s="78"/>
      <c r="X12" s="78"/>
    </row>
    <row r="13" spans="1:24" ht="16.5" customHeight="1" thickBot="1" x14ac:dyDescent="0.3">
      <c r="A13" s="78"/>
      <c r="B13" s="178"/>
      <c r="C13" s="84" t="s">
        <v>56</v>
      </c>
      <c r="D13" s="158" t="s">
        <v>119</v>
      </c>
      <c r="E13" s="159"/>
      <c r="F13" s="160" t="s">
        <v>63</v>
      </c>
      <c r="G13" s="159"/>
      <c r="H13" s="158" t="s">
        <v>54</v>
      </c>
      <c r="I13" s="159"/>
      <c r="J13" s="158" t="s">
        <v>119</v>
      </c>
      <c r="K13" s="159"/>
      <c r="L13" s="158" t="s">
        <v>119</v>
      </c>
      <c r="M13" s="161"/>
      <c r="N13" s="184"/>
      <c r="O13" s="185"/>
      <c r="P13" s="78"/>
      <c r="Q13" s="78"/>
      <c r="R13" s="78"/>
      <c r="S13" s="78"/>
      <c r="T13" s="78"/>
      <c r="U13" s="78"/>
      <c r="V13" s="78"/>
      <c r="W13" s="78"/>
      <c r="X13" s="78"/>
    </row>
    <row r="14" spans="1:24" ht="16.5" customHeight="1" thickBot="1" x14ac:dyDescent="0.3">
      <c r="A14" s="78"/>
      <c r="B14" s="80" t="s">
        <v>39</v>
      </c>
      <c r="C14" s="81" t="s">
        <v>55</v>
      </c>
      <c r="D14" s="175" t="s">
        <v>106</v>
      </c>
      <c r="E14" s="186"/>
      <c r="F14" s="175" t="s">
        <v>107</v>
      </c>
      <c r="G14" s="186"/>
      <c r="H14" s="175" t="s">
        <v>108</v>
      </c>
      <c r="I14" s="186"/>
      <c r="J14" s="175" t="s">
        <v>109</v>
      </c>
      <c r="K14" s="186"/>
      <c r="L14" s="175" t="s">
        <v>120</v>
      </c>
      <c r="M14" s="186"/>
      <c r="N14" s="175" t="s">
        <v>121</v>
      </c>
      <c r="O14" s="176"/>
      <c r="P14" s="78"/>
      <c r="Q14" s="78"/>
      <c r="R14" s="78"/>
      <c r="S14" s="78"/>
      <c r="T14" s="78"/>
      <c r="U14" s="78"/>
      <c r="V14" s="78"/>
      <c r="W14" s="78"/>
      <c r="X14" s="78"/>
    </row>
    <row r="15" spans="1:24" ht="21.75" customHeight="1" x14ac:dyDescent="0.25">
      <c r="A15" s="78"/>
      <c r="B15" s="136" t="s">
        <v>40</v>
      </c>
      <c r="C15" s="123" t="s">
        <v>57</v>
      </c>
      <c r="D15" s="139" t="s">
        <v>122</v>
      </c>
      <c r="E15" s="140"/>
      <c r="F15" s="139" t="s">
        <v>184</v>
      </c>
      <c r="G15" s="140"/>
      <c r="H15" s="139" t="s">
        <v>122</v>
      </c>
      <c r="I15" s="140"/>
      <c r="J15" s="139" t="s">
        <v>184</v>
      </c>
      <c r="K15" s="140"/>
      <c r="L15" s="139" t="s">
        <v>122</v>
      </c>
      <c r="M15" s="140"/>
      <c r="N15" s="141" t="s">
        <v>110</v>
      </c>
      <c r="O15" s="142"/>
      <c r="P15" s="78"/>
      <c r="Q15" s="78"/>
      <c r="R15" s="78"/>
      <c r="S15" s="78"/>
      <c r="T15" s="78"/>
      <c r="U15" s="78"/>
      <c r="V15" s="78"/>
      <c r="W15" s="78"/>
      <c r="X15" s="78"/>
    </row>
    <row r="16" spans="1:24" ht="21" customHeight="1" x14ac:dyDescent="0.25">
      <c r="A16" s="78"/>
      <c r="B16" s="137"/>
      <c r="C16" s="121" t="s">
        <v>178</v>
      </c>
      <c r="D16" s="143" t="s">
        <v>113</v>
      </c>
      <c r="E16" s="143"/>
      <c r="F16" s="135" t="s">
        <v>181</v>
      </c>
      <c r="G16" s="144"/>
      <c r="H16" s="128" t="s">
        <v>183</v>
      </c>
      <c r="I16" s="144"/>
      <c r="J16" s="128" t="s">
        <v>185</v>
      </c>
      <c r="K16" s="144"/>
      <c r="L16" s="128" t="s">
        <v>179</v>
      </c>
      <c r="M16" s="144"/>
      <c r="N16" s="128" t="s">
        <v>182</v>
      </c>
      <c r="O16" s="129"/>
      <c r="P16" s="78"/>
      <c r="Q16" s="78"/>
      <c r="R16" s="78"/>
      <c r="S16" s="78"/>
      <c r="T16" s="78"/>
      <c r="U16" s="78"/>
      <c r="V16" s="78"/>
      <c r="W16" s="78"/>
      <c r="X16" s="78"/>
    </row>
    <row r="17" spans="1:24" ht="21" customHeight="1" x14ac:dyDescent="0.25">
      <c r="A17" s="78"/>
      <c r="B17" s="137"/>
      <c r="C17" s="121" t="s">
        <v>56</v>
      </c>
      <c r="D17" s="130" t="s">
        <v>54</v>
      </c>
      <c r="E17" s="130"/>
      <c r="F17" s="130" t="s">
        <v>54</v>
      </c>
      <c r="G17" s="130"/>
      <c r="H17" s="130" t="s">
        <v>54</v>
      </c>
      <c r="I17" s="130"/>
      <c r="J17" s="130" t="s">
        <v>54</v>
      </c>
      <c r="K17" s="130"/>
      <c r="L17" s="130" t="s">
        <v>54</v>
      </c>
      <c r="M17" s="130"/>
      <c r="N17" s="128" t="s">
        <v>54</v>
      </c>
      <c r="O17" s="129"/>
      <c r="P17" s="78"/>
      <c r="Q17" s="78"/>
      <c r="R17" s="78"/>
      <c r="S17" s="78"/>
      <c r="T17" s="78"/>
      <c r="U17" s="78"/>
      <c r="V17" s="78"/>
      <c r="W17" s="78"/>
      <c r="X17" s="78"/>
    </row>
    <row r="18" spans="1:24" ht="16.5" customHeight="1" thickBot="1" x14ac:dyDescent="0.3">
      <c r="A18" s="78"/>
      <c r="B18" s="138"/>
      <c r="C18" s="122"/>
      <c r="D18" s="126"/>
      <c r="E18" s="127"/>
      <c r="F18" s="126"/>
      <c r="G18" s="127"/>
      <c r="H18" s="126"/>
      <c r="I18" s="127"/>
      <c r="J18" s="126"/>
      <c r="K18" s="127"/>
      <c r="L18" s="126"/>
      <c r="M18" s="127"/>
      <c r="N18" s="124"/>
      <c r="O18" s="125"/>
      <c r="P18" s="78"/>
      <c r="Q18" s="78"/>
      <c r="R18" s="78"/>
      <c r="S18" s="78"/>
      <c r="T18" s="78"/>
      <c r="U18" s="78"/>
      <c r="V18" s="78"/>
      <c r="W18" s="78"/>
      <c r="X18" s="78"/>
    </row>
    <row r="19" spans="1:24" ht="21" customHeight="1" x14ac:dyDescent="0.25">
      <c r="A19" s="78"/>
      <c r="B19" s="177" t="s">
        <v>39</v>
      </c>
      <c r="C19" s="85" t="s">
        <v>57</v>
      </c>
      <c r="D19" s="194"/>
      <c r="E19" s="172"/>
      <c r="F19" s="194"/>
      <c r="G19" s="172"/>
      <c r="H19" s="194"/>
      <c r="I19" s="172"/>
      <c r="J19" s="198"/>
      <c r="K19" s="172"/>
      <c r="L19" s="188"/>
      <c r="M19" s="165"/>
      <c r="N19" s="179"/>
      <c r="O19" s="180"/>
      <c r="P19" s="78"/>
      <c r="Q19" s="78"/>
      <c r="R19" s="78"/>
      <c r="S19" s="78"/>
      <c r="T19" s="78"/>
      <c r="U19" s="78"/>
      <c r="V19" s="78"/>
      <c r="W19" s="78"/>
      <c r="X19" s="78"/>
    </row>
    <row r="20" spans="1:24" ht="18.75" customHeight="1" x14ac:dyDescent="0.25">
      <c r="A20" s="78"/>
      <c r="B20" s="178"/>
      <c r="C20" s="83" t="s">
        <v>58</v>
      </c>
      <c r="D20" s="154" t="s">
        <v>76</v>
      </c>
      <c r="E20" s="153"/>
      <c r="F20" s="154" t="s">
        <v>123</v>
      </c>
      <c r="G20" s="153"/>
      <c r="H20" s="154" t="s">
        <v>124</v>
      </c>
      <c r="I20" s="155"/>
      <c r="J20" s="154" t="s">
        <v>53</v>
      </c>
      <c r="K20" s="153"/>
      <c r="L20" s="164" t="s">
        <v>125</v>
      </c>
      <c r="M20" s="165"/>
      <c r="N20" s="181"/>
      <c r="O20" s="182"/>
      <c r="P20" s="78"/>
      <c r="Q20" s="78"/>
      <c r="R20" s="78"/>
      <c r="S20" s="78"/>
      <c r="T20" s="78"/>
      <c r="U20" s="78"/>
      <c r="V20" s="78"/>
      <c r="W20" s="78"/>
      <c r="X20" s="78"/>
    </row>
    <row r="21" spans="1:24" ht="28.5" customHeight="1" x14ac:dyDescent="0.25">
      <c r="A21" s="78"/>
      <c r="B21" s="178"/>
      <c r="C21" s="83" t="s">
        <v>59</v>
      </c>
      <c r="D21" s="163" t="s">
        <v>126</v>
      </c>
      <c r="E21" s="153"/>
      <c r="F21" s="154" t="s">
        <v>114</v>
      </c>
      <c r="G21" s="155"/>
      <c r="H21" s="154"/>
      <c r="I21" s="155"/>
      <c r="J21" s="152" t="s">
        <v>113</v>
      </c>
      <c r="K21" s="153"/>
      <c r="L21" s="162" t="s">
        <v>127</v>
      </c>
      <c r="M21" s="156"/>
      <c r="N21" s="183"/>
      <c r="O21" s="182"/>
      <c r="P21" s="78"/>
      <c r="Q21" s="78"/>
      <c r="R21" s="78"/>
      <c r="S21" s="78"/>
      <c r="T21" s="78"/>
      <c r="U21" s="78"/>
      <c r="V21" s="78"/>
      <c r="W21" s="78"/>
      <c r="X21" s="78"/>
    </row>
    <row r="22" spans="1:24" ht="15.75" customHeight="1" x14ac:dyDescent="0.25">
      <c r="A22" s="78"/>
      <c r="B22" s="178"/>
      <c r="C22" s="83" t="s">
        <v>61</v>
      </c>
      <c r="D22" s="152" t="s">
        <v>128</v>
      </c>
      <c r="E22" s="153"/>
      <c r="F22" s="154" t="s">
        <v>83</v>
      </c>
      <c r="G22" s="155"/>
      <c r="H22" s="154" t="s">
        <v>78</v>
      </c>
      <c r="I22" s="155"/>
      <c r="J22" s="192" t="s">
        <v>129</v>
      </c>
      <c r="K22" s="193"/>
      <c r="L22" s="152"/>
      <c r="M22" s="156"/>
      <c r="N22" s="181"/>
      <c r="O22" s="182"/>
      <c r="P22" s="78"/>
      <c r="Q22" s="78"/>
      <c r="R22" s="78"/>
      <c r="S22" s="78"/>
      <c r="T22" s="78"/>
      <c r="U22" s="78"/>
      <c r="V22" s="78"/>
      <c r="W22" s="78"/>
      <c r="X22" s="78"/>
    </row>
    <row r="23" spans="1:24" ht="15.75" customHeight="1" x14ac:dyDescent="0.25">
      <c r="A23" s="78"/>
      <c r="B23" s="178"/>
      <c r="C23" s="83" t="s">
        <v>62</v>
      </c>
      <c r="D23" s="152"/>
      <c r="E23" s="153"/>
      <c r="F23" s="152"/>
      <c r="G23" s="153"/>
      <c r="H23" s="157"/>
      <c r="I23" s="153"/>
      <c r="J23" s="194"/>
      <c r="K23" s="195"/>
      <c r="L23" s="152" t="s">
        <v>74</v>
      </c>
      <c r="M23" s="153"/>
      <c r="N23" s="181"/>
      <c r="O23" s="182"/>
      <c r="P23" s="78"/>
      <c r="Q23" s="78"/>
      <c r="R23" s="78"/>
      <c r="S23" s="78"/>
      <c r="T23" s="78"/>
      <c r="U23" s="78"/>
      <c r="V23" s="78"/>
      <c r="W23" s="78"/>
      <c r="X23" s="78"/>
    </row>
    <row r="24" spans="1:24" ht="16.5" customHeight="1" thickBot="1" x14ac:dyDescent="0.3">
      <c r="A24" s="78"/>
      <c r="B24" s="191"/>
      <c r="C24" s="86" t="s">
        <v>56</v>
      </c>
      <c r="D24" s="150" t="s">
        <v>119</v>
      </c>
      <c r="E24" s="199"/>
      <c r="F24" s="150" t="s">
        <v>77</v>
      </c>
      <c r="G24" s="199"/>
      <c r="H24" s="150" t="s">
        <v>54</v>
      </c>
      <c r="I24" s="199"/>
      <c r="J24" s="200" t="s">
        <v>63</v>
      </c>
      <c r="K24" s="199"/>
      <c r="L24" s="150" t="s">
        <v>119</v>
      </c>
      <c r="M24" s="151"/>
      <c r="N24" s="196"/>
      <c r="O24" s="197"/>
      <c r="P24" s="78"/>
      <c r="Q24" s="78"/>
      <c r="R24" s="78"/>
      <c r="S24" s="78"/>
      <c r="T24" s="78"/>
      <c r="U24" s="78"/>
      <c r="V24" s="78"/>
      <c r="W24" s="78"/>
      <c r="X24" s="78"/>
    </row>
    <row r="25" spans="1:24" ht="17.25" customHeight="1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spans="1:24" ht="17.25" customHeight="1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spans="1:24" ht="17.25" customHeight="1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spans="1:24" ht="17.25" customHeight="1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spans="1:24" ht="17.25" customHeight="1" x14ac:dyDescent="0.2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spans="1:24" ht="17.25" customHeight="1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spans="1:24" ht="17.25" customHeight="1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spans="1:24" ht="17.2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spans="1:24" ht="17.2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spans="1:24" ht="17.25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24" ht="17.25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ht="17.25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spans="1:24" ht="17.25" customHeight="1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spans="1:24" ht="17.25" customHeight="1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spans="1:24" ht="17.25" customHeight="1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spans="1:24" ht="17.25" customHeight="1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spans="1:24" ht="17.25" customHeight="1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spans="1:24" ht="17.25" customHeight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spans="1:24" ht="17.25" customHeight="1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spans="1:24" ht="17.2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spans="1:24" ht="17.25" customHeight="1" x14ac:dyDescent="0.25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spans="1:24" ht="17.25" customHeight="1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spans="1:24" ht="12.75" customHeight="1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spans="1:24" ht="12.75" customHeight="1" x14ac:dyDescent="0.2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spans="1:24" ht="12.75" customHeight="1" x14ac:dyDescent="0.2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</row>
    <row r="50" spans="1:24" ht="12.75" customHeight="1" x14ac:dyDescent="0.2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</row>
    <row r="51" spans="1:24" ht="12.7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spans="1:24" ht="12.7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</row>
    <row r="53" spans="1:24" ht="12.7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spans="1:24" ht="12.75" customHeight="1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spans="1:24" ht="12.75" customHeight="1" x14ac:dyDescent="0.2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spans="1:24" ht="12.75" customHeight="1" x14ac:dyDescent="0.2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</row>
    <row r="57" spans="1:24" ht="12.75" customHeight="1" x14ac:dyDescent="0.25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</row>
    <row r="58" spans="1:24" ht="12.75" customHeight="1" x14ac:dyDescent="0.25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</row>
    <row r="59" spans="1:24" ht="12.75" customHeight="1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</row>
    <row r="60" spans="1:24" ht="12.75" customHeight="1" x14ac:dyDescent="0.25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</row>
    <row r="61" spans="1:24" ht="12.75" customHeigh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</row>
    <row r="62" spans="1:24" ht="12.75" customHeight="1" x14ac:dyDescent="0.25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</row>
    <row r="63" spans="1:24" ht="12.75" customHeight="1" x14ac:dyDescent="0.25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</row>
    <row r="64" spans="1:24" ht="12.75" customHeight="1" x14ac:dyDescent="0.25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</row>
    <row r="65" spans="1:24" ht="12.75" customHeight="1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</row>
    <row r="66" spans="1:24" ht="12.75" customHeight="1" x14ac:dyDescent="0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spans="1:24" ht="12.75" customHeight="1" x14ac:dyDescent="0.25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</row>
    <row r="68" spans="1:24" ht="12.75" customHeight="1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</row>
    <row r="69" spans="1:24" ht="12.75" customHeight="1" x14ac:dyDescent="0.25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spans="1:24" ht="12.75" customHeight="1" x14ac:dyDescent="0.25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</row>
    <row r="71" spans="1:24" ht="12.75" customHeight="1" x14ac:dyDescent="0.25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</row>
    <row r="72" spans="1:24" ht="12.75" customHeight="1" x14ac:dyDescent="0.25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</row>
    <row r="73" spans="1:24" ht="12.75" customHeight="1" x14ac:dyDescent="0.25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</row>
    <row r="74" spans="1:24" ht="12.75" customHeight="1" x14ac:dyDescent="0.25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</row>
    <row r="75" spans="1:24" ht="12.75" customHeight="1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</row>
    <row r="76" spans="1:24" ht="12.75" customHeight="1" x14ac:dyDescent="0.25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</row>
    <row r="77" spans="1:24" ht="12.75" customHeight="1" x14ac:dyDescent="0.25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</row>
    <row r="78" spans="1:24" ht="12.75" customHeight="1" x14ac:dyDescent="0.25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</row>
    <row r="79" spans="1:24" ht="12.75" customHeight="1" x14ac:dyDescent="0.25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</row>
    <row r="80" spans="1:24" ht="12.75" customHeight="1" x14ac:dyDescent="0.25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</row>
    <row r="81" spans="1:24" ht="12.75" customHeight="1" x14ac:dyDescent="0.25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</row>
    <row r="82" spans="1:24" ht="12.75" customHeight="1" x14ac:dyDescent="0.25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</row>
    <row r="83" spans="1:24" ht="12.75" customHeight="1" x14ac:dyDescent="0.25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</row>
    <row r="84" spans="1:24" ht="12.75" customHeight="1" x14ac:dyDescent="0.25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</row>
    <row r="85" spans="1:24" ht="12.75" customHeight="1" x14ac:dyDescent="0.25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</row>
    <row r="86" spans="1:24" ht="12.75" customHeight="1" x14ac:dyDescent="0.25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</row>
    <row r="87" spans="1:24" ht="12.75" customHeight="1" x14ac:dyDescent="0.25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</row>
    <row r="88" spans="1:24" ht="12.75" customHeight="1" x14ac:dyDescent="0.25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</row>
    <row r="89" spans="1:24" ht="12.75" customHeight="1" x14ac:dyDescent="0.25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</row>
    <row r="90" spans="1:24" ht="12.75" customHeight="1" x14ac:dyDescent="0.25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</row>
    <row r="91" spans="1:24" ht="12.75" customHeight="1" x14ac:dyDescent="0.25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</row>
    <row r="92" spans="1:24" ht="12.75" customHeight="1" x14ac:dyDescent="0.25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</row>
    <row r="93" spans="1:24" ht="12.75" customHeight="1" x14ac:dyDescent="0.25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</row>
    <row r="94" spans="1:24" ht="12.75" customHeight="1" x14ac:dyDescent="0.25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</row>
    <row r="95" spans="1:24" ht="12.75" customHeight="1" x14ac:dyDescent="0.25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</row>
    <row r="96" spans="1:24" ht="12.75" customHeight="1" x14ac:dyDescent="0.2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</row>
    <row r="97" spans="1:24" ht="12.75" customHeight="1" x14ac:dyDescent="0.25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</row>
    <row r="98" spans="1:24" ht="12.75" customHeight="1" x14ac:dyDescent="0.25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</row>
    <row r="99" spans="1:24" ht="12.75" customHeight="1" x14ac:dyDescent="0.25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</row>
    <row r="100" spans="1:24" ht="12.75" customHeight="1" x14ac:dyDescent="0.25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</row>
    <row r="101" spans="1:24" ht="12.75" customHeight="1" x14ac:dyDescent="0.25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</row>
    <row r="102" spans="1:24" ht="12.75" customHeight="1" x14ac:dyDescent="0.25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</row>
    <row r="103" spans="1:24" ht="12.75" customHeight="1" x14ac:dyDescent="0.25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</row>
    <row r="104" spans="1:24" ht="12.75" customHeight="1" x14ac:dyDescent="0.25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</row>
    <row r="105" spans="1:24" ht="12.75" customHeight="1" x14ac:dyDescent="0.25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</row>
    <row r="106" spans="1:24" ht="12.75" customHeight="1" x14ac:dyDescent="0.25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</row>
    <row r="107" spans="1:24" ht="12.75" customHeight="1" x14ac:dyDescent="0.25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</row>
    <row r="108" spans="1:24" ht="12.75" customHeight="1" x14ac:dyDescent="0.25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</row>
    <row r="109" spans="1:24" ht="12.75" customHeight="1" x14ac:dyDescent="0.25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</row>
    <row r="110" spans="1:24" ht="12.75" customHeight="1" x14ac:dyDescent="0.25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</row>
    <row r="111" spans="1:24" ht="12.75" customHeight="1" x14ac:dyDescent="0.25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</row>
    <row r="112" spans="1:24" ht="12.75" customHeight="1" x14ac:dyDescent="0.25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</row>
    <row r="113" spans="1:24" ht="12.75" customHeight="1" x14ac:dyDescent="0.25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</row>
    <row r="114" spans="1:24" ht="12.75" customHeight="1" x14ac:dyDescent="0.25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</row>
    <row r="115" spans="1:24" ht="12.75" customHeight="1" x14ac:dyDescent="0.25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</row>
    <row r="116" spans="1:24" ht="12.75" customHeight="1" x14ac:dyDescent="0.25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</row>
    <row r="117" spans="1:24" ht="12.75" customHeight="1" x14ac:dyDescent="0.25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</row>
    <row r="118" spans="1:24" ht="12.75" customHeight="1" x14ac:dyDescent="0.25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</row>
    <row r="119" spans="1:24" ht="12.75" customHeight="1" x14ac:dyDescent="0.25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</row>
    <row r="120" spans="1:24" ht="12.75" customHeight="1" x14ac:dyDescent="0.25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</row>
    <row r="121" spans="1:24" ht="12.75" customHeight="1" x14ac:dyDescent="0.25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</row>
    <row r="122" spans="1:24" ht="12.75" customHeight="1" x14ac:dyDescent="0.25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</row>
    <row r="123" spans="1:24" ht="12.75" customHeight="1" x14ac:dyDescent="0.25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</row>
    <row r="124" spans="1:24" ht="12.75" customHeight="1" x14ac:dyDescent="0.25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</row>
    <row r="125" spans="1:24" ht="12.75" customHeight="1" x14ac:dyDescent="0.25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</row>
    <row r="126" spans="1:24" ht="12.75" customHeight="1" x14ac:dyDescent="0.25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</row>
    <row r="127" spans="1:24" ht="12.75" customHeight="1" x14ac:dyDescent="0.25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</row>
    <row r="128" spans="1:24" ht="12.75" customHeight="1" x14ac:dyDescent="0.25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</row>
    <row r="129" spans="1:24" ht="12.75" customHeight="1" x14ac:dyDescent="0.25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</row>
    <row r="130" spans="1:24" ht="12.75" customHeight="1" x14ac:dyDescent="0.25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</row>
    <row r="131" spans="1:24" ht="12.75" customHeight="1" x14ac:dyDescent="0.25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</row>
    <row r="132" spans="1:24" ht="12.75" customHeight="1" x14ac:dyDescent="0.25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</row>
    <row r="133" spans="1:24" ht="12.75" customHeight="1" x14ac:dyDescent="0.25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</row>
    <row r="134" spans="1:24" ht="12.75" customHeight="1" x14ac:dyDescent="0.25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</row>
    <row r="135" spans="1:24" ht="12.75" customHeight="1" x14ac:dyDescent="0.2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</row>
    <row r="136" spans="1:24" ht="12.75" customHeight="1" x14ac:dyDescent="0.25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</row>
    <row r="137" spans="1:24" ht="12.75" customHeight="1" x14ac:dyDescent="0.25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</row>
    <row r="138" spans="1:24" ht="12.75" customHeight="1" x14ac:dyDescent="0.25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</row>
    <row r="139" spans="1:24" ht="12.75" customHeight="1" x14ac:dyDescent="0.25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</row>
    <row r="140" spans="1:24" ht="12.75" customHeight="1" x14ac:dyDescent="0.25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</row>
    <row r="141" spans="1:24" ht="12.75" customHeight="1" x14ac:dyDescent="0.25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</row>
    <row r="142" spans="1:24" ht="12.75" customHeight="1" x14ac:dyDescent="0.25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</row>
    <row r="143" spans="1:24" ht="12.75" customHeight="1" x14ac:dyDescent="0.25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</row>
    <row r="144" spans="1:24" ht="12.75" customHeight="1" x14ac:dyDescent="0.25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</row>
    <row r="145" spans="1:24" ht="12.75" customHeight="1" x14ac:dyDescent="0.25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</row>
    <row r="146" spans="1:24" ht="12.75" customHeight="1" x14ac:dyDescent="0.25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</row>
    <row r="147" spans="1:24" ht="12.75" customHeight="1" x14ac:dyDescent="0.25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</row>
    <row r="148" spans="1:24" ht="12.75" customHeight="1" x14ac:dyDescent="0.25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</row>
    <row r="149" spans="1:24" ht="12.75" customHeight="1" x14ac:dyDescent="0.25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</row>
    <row r="150" spans="1:24" ht="12.75" customHeight="1" x14ac:dyDescent="0.25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</row>
    <row r="151" spans="1:24" ht="12.75" customHeight="1" x14ac:dyDescent="0.25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</row>
    <row r="152" spans="1:24" ht="12.75" customHeight="1" x14ac:dyDescent="0.25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</row>
    <row r="153" spans="1:24" ht="12.75" customHeight="1" x14ac:dyDescent="0.25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</row>
    <row r="154" spans="1:24" ht="12.75" customHeight="1" x14ac:dyDescent="0.25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</row>
    <row r="155" spans="1:24" ht="12.75" customHeight="1" x14ac:dyDescent="0.25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</row>
    <row r="156" spans="1:24" ht="12.75" customHeight="1" x14ac:dyDescent="0.25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</row>
    <row r="157" spans="1:24" ht="12.75" customHeight="1" x14ac:dyDescent="0.25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</row>
    <row r="158" spans="1:24" ht="12.75" customHeight="1" x14ac:dyDescent="0.25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</row>
    <row r="159" spans="1:24" ht="12.75" customHeight="1" x14ac:dyDescent="0.25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</row>
    <row r="160" spans="1:24" ht="12.75" customHeight="1" x14ac:dyDescent="0.25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</row>
    <row r="161" spans="1:24" ht="12.75" customHeight="1" x14ac:dyDescent="0.25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</row>
    <row r="162" spans="1:24" ht="12.75" customHeight="1" x14ac:dyDescent="0.25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</row>
    <row r="163" spans="1:24" ht="12.75" customHeight="1" x14ac:dyDescent="0.25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</row>
    <row r="164" spans="1:24" ht="12.75" customHeight="1" x14ac:dyDescent="0.25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</row>
    <row r="165" spans="1:24" ht="12.75" customHeight="1" x14ac:dyDescent="0.25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</row>
    <row r="166" spans="1:24" ht="12.75" customHeight="1" x14ac:dyDescent="0.25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</row>
    <row r="167" spans="1:24" ht="12.75" customHeight="1" x14ac:dyDescent="0.25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</row>
    <row r="168" spans="1:24" ht="12.75" customHeight="1" x14ac:dyDescent="0.25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</row>
    <row r="169" spans="1:24" ht="12.75" customHeight="1" x14ac:dyDescent="0.25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</row>
    <row r="170" spans="1:24" ht="12.75" customHeight="1" x14ac:dyDescent="0.25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</row>
    <row r="171" spans="1:24" ht="12.75" customHeight="1" x14ac:dyDescent="0.25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</row>
    <row r="172" spans="1:24" ht="12.75" customHeight="1" x14ac:dyDescent="0.25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</row>
    <row r="173" spans="1:24" ht="12.75" customHeight="1" x14ac:dyDescent="0.25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</row>
    <row r="174" spans="1:24" ht="12.75" customHeight="1" x14ac:dyDescent="0.25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</row>
    <row r="175" spans="1:24" ht="12.75" customHeight="1" x14ac:dyDescent="0.25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</row>
    <row r="176" spans="1:24" ht="12.75" customHeight="1" x14ac:dyDescent="0.25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</row>
    <row r="177" spans="1:24" ht="12.75" customHeight="1" x14ac:dyDescent="0.25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</row>
    <row r="178" spans="1:24" ht="12.75" customHeight="1" x14ac:dyDescent="0.25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</row>
    <row r="179" spans="1:24" ht="12.75" customHeight="1" x14ac:dyDescent="0.25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</row>
    <row r="180" spans="1:24" ht="12.75" customHeight="1" x14ac:dyDescent="0.25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</row>
    <row r="181" spans="1:24" ht="12.75" customHeight="1" x14ac:dyDescent="0.25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</row>
    <row r="182" spans="1:24" ht="12.75" customHeight="1" x14ac:dyDescent="0.25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</row>
    <row r="183" spans="1:24" ht="12.75" customHeight="1" x14ac:dyDescent="0.25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</row>
    <row r="184" spans="1:24" ht="12.75" customHeight="1" x14ac:dyDescent="0.25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</row>
    <row r="185" spans="1:24" ht="12.75" customHeight="1" x14ac:dyDescent="0.25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</row>
    <row r="186" spans="1:24" ht="12.75" customHeight="1" x14ac:dyDescent="0.25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</row>
    <row r="187" spans="1:24" ht="12.75" customHeight="1" x14ac:dyDescent="0.25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</row>
    <row r="188" spans="1:24" ht="12.75" customHeight="1" x14ac:dyDescent="0.25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</row>
    <row r="189" spans="1:24" ht="12.75" customHeight="1" x14ac:dyDescent="0.25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</row>
    <row r="190" spans="1:24" ht="12.75" customHeight="1" x14ac:dyDescent="0.25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</row>
    <row r="191" spans="1:24" ht="12.75" customHeight="1" x14ac:dyDescent="0.25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</row>
    <row r="192" spans="1:24" ht="12.75" customHeight="1" x14ac:dyDescent="0.25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</row>
    <row r="193" spans="1:24" ht="12.75" customHeight="1" x14ac:dyDescent="0.25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</row>
    <row r="194" spans="1:24" ht="12.75" customHeight="1" x14ac:dyDescent="0.25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</row>
    <row r="195" spans="1:24" ht="12.75" customHeight="1" x14ac:dyDescent="0.25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</row>
    <row r="196" spans="1:24" ht="12.75" customHeight="1" x14ac:dyDescent="0.25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</row>
    <row r="197" spans="1:24" ht="12.75" customHeight="1" x14ac:dyDescent="0.25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</row>
    <row r="198" spans="1:24" ht="12.75" customHeight="1" x14ac:dyDescent="0.25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</row>
    <row r="199" spans="1:24" ht="12.75" customHeight="1" x14ac:dyDescent="0.25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</row>
    <row r="200" spans="1:24" ht="12.75" customHeight="1" x14ac:dyDescent="0.25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</row>
    <row r="201" spans="1:24" ht="12.75" customHeight="1" x14ac:dyDescent="0.25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</row>
    <row r="202" spans="1:24" ht="12.75" customHeight="1" x14ac:dyDescent="0.25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</row>
    <row r="203" spans="1:24" ht="12.75" customHeight="1" x14ac:dyDescent="0.25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</row>
    <row r="204" spans="1:24" ht="12.75" customHeight="1" x14ac:dyDescent="0.25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</row>
    <row r="205" spans="1:24" ht="12.75" customHeight="1" x14ac:dyDescent="0.25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</row>
    <row r="206" spans="1:24" ht="12.75" customHeight="1" x14ac:dyDescent="0.25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</row>
    <row r="207" spans="1:24" ht="12.75" customHeight="1" x14ac:dyDescent="0.25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</row>
    <row r="208" spans="1:24" ht="12.75" customHeight="1" x14ac:dyDescent="0.25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</row>
    <row r="209" spans="1:24" ht="12.75" customHeight="1" x14ac:dyDescent="0.25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</row>
    <row r="210" spans="1:24" ht="12.75" customHeight="1" x14ac:dyDescent="0.25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</row>
    <row r="211" spans="1:24" ht="12.75" customHeight="1" x14ac:dyDescent="0.25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</row>
    <row r="212" spans="1:24" ht="12.75" customHeight="1" x14ac:dyDescent="0.25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</row>
    <row r="213" spans="1:24" ht="12.75" customHeight="1" x14ac:dyDescent="0.25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</row>
    <row r="214" spans="1:24" ht="12.75" customHeight="1" x14ac:dyDescent="0.25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</row>
    <row r="215" spans="1:24" ht="12.75" customHeight="1" x14ac:dyDescent="0.25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</row>
    <row r="216" spans="1:24" ht="12.75" customHeight="1" x14ac:dyDescent="0.25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</row>
    <row r="217" spans="1:24" ht="12.75" customHeight="1" x14ac:dyDescent="0.25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</row>
    <row r="218" spans="1:24" ht="12.75" customHeight="1" x14ac:dyDescent="0.25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</row>
    <row r="219" spans="1:24" ht="12.75" customHeight="1" x14ac:dyDescent="0.25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</row>
    <row r="220" spans="1:24" ht="12.75" customHeight="1" x14ac:dyDescent="0.25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</row>
    <row r="221" spans="1:24" ht="12.75" customHeight="1" x14ac:dyDescent="0.25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</row>
    <row r="222" spans="1:24" ht="12.75" customHeight="1" x14ac:dyDescent="0.25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</row>
    <row r="223" spans="1:24" ht="12.75" customHeight="1" x14ac:dyDescent="0.25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</row>
    <row r="224" spans="1:24" ht="12.75" customHeight="1" x14ac:dyDescent="0.25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</row>
    <row r="225" spans="1:24" ht="12.75" customHeight="1" x14ac:dyDescent="0.25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</row>
    <row r="226" spans="1:24" ht="12.75" customHeight="1" x14ac:dyDescent="0.25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</row>
    <row r="227" spans="1:24" ht="12.75" customHeight="1" x14ac:dyDescent="0.25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</row>
    <row r="228" spans="1:24" ht="12.75" customHeight="1" x14ac:dyDescent="0.25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</row>
    <row r="229" spans="1:24" ht="12.75" customHeight="1" x14ac:dyDescent="0.25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</row>
    <row r="230" spans="1:24" ht="12.75" customHeight="1" x14ac:dyDescent="0.25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</row>
    <row r="231" spans="1:24" ht="12.75" customHeight="1" x14ac:dyDescent="0.25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</row>
    <row r="232" spans="1:24" ht="12.75" customHeight="1" x14ac:dyDescent="0.25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</row>
    <row r="233" spans="1:24" ht="12.75" customHeight="1" x14ac:dyDescent="0.25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</row>
    <row r="234" spans="1:24" ht="12.75" customHeight="1" x14ac:dyDescent="0.25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</row>
    <row r="235" spans="1:24" ht="12.75" customHeight="1" x14ac:dyDescent="0.25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</row>
    <row r="236" spans="1:24" ht="12.75" customHeight="1" x14ac:dyDescent="0.25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</row>
    <row r="237" spans="1:24" ht="12.75" customHeight="1" x14ac:dyDescent="0.25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</row>
    <row r="238" spans="1:24" ht="12.75" customHeight="1" x14ac:dyDescent="0.25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</row>
    <row r="239" spans="1:24" ht="12.75" customHeight="1" x14ac:dyDescent="0.25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</row>
    <row r="240" spans="1:24" ht="12.75" customHeight="1" x14ac:dyDescent="0.25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</row>
    <row r="241" spans="1:24" ht="12.75" customHeight="1" x14ac:dyDescent="0.25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</row>
    <row r="242" spans="1:24" ht="12.75" customHeight="1" x14ac:dyDescent="0.25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</row>
    <row r="243" spans="1:24" ht="12.75" customHeight="1" x14ac:dyDescent="0.25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</row>
    <row r="244" spans="1:24" ht="12.75" customHeight="1" x14ac:dyDescent="0.25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</row>
    <row r="245" spans="1:24" ht="12.75" customHeight="1" x14ac:dyDescent="0.25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</row>
    <row r="246" spans="1:24" ht="12.75" customHeight="1" x14ac:dyDescent="0.25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</row>
    <row r="247" spans="1:24" ht="12.75" customHeight="1" x14ac:dyDescent="0.25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</row>
    <row r="248" spans="1:24" ht="12.75" customHeight="1" x14ac:dyDescent="0.25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</row>
    <row r="249" spans="1:24" ht="12.75" customHeight="1" x14ac:dyDescent="0.25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</row>
    <row r="250" spans="1:24" ht="12.75" customHeight="1" x14ac:dyDescent="0.25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</row>
    <row r="251" spans="1:24" ht="12.75" customHeight="1" x14ac:dyDescent="0.25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</row>
    <row r="252" spans="1:24" ht="12.75" customHeight="1" x14ac:dyDescent="0.25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</row>
    <row r="253" spans="1:24" ht="12.75" customHeight="1" x14ac:dyDescent="0.25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</row>
    <row r="254" spans="1:24" ht="12.75" customHeight="1" x14ac:dyDescent="0.25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</row>
    <row r="255" spans="1:24" ht="12.75" customHeight="1" x14ac:dyDescent="0.25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</row>
    <row r="256" spans="1:24" ht="12.75" customHeight="1" x14ac:dyDescent="0.25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</row>
    <row r="257" spans="1:24" ht="12.75" customHeight="1" x14ac:dyDescent="0.25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</row>
    <row r="258" spans="1:24" ht="12.75" customHeight="1" x14ac:dyDescent="0.25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</row>
    <row r="259" spans="1:24" ht="12.75" customHeight="1" x14ac:dyDescent="0.25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</row>
    <row r="260" spans="1:24" ht="12.75" customHeight="1" x14ac:dyDescent="0.25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</row>
    <row r="261" spans="1:24" ht="12.75" customHeight="1" x14ac:dyDescent="0.25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</row>
    <row r="262" spans="1:24" ht="12.75" customHeight="1" x14ac:dyDescent="0.25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</row>
    <row r="263" spans="1:24" ht="12.75" customHeight="1" x14ac:dyDescent="0.25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</row>
    <row r="264" spans="1:24" ht="12.75" customHeight="1" x14ac:dyDescent="0.25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</row>
    <row r="265" spans="1:24" ht="12.75" customHeight="1" x14ac:dyDescent="0.25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</row>
    <row r="266" spans="1:24" ht="12.75" customHeight="1" x14ac:dyDescent="0.25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</row>
    <row r="267" spans="1:24" ht="12.75" customHeight="1" x14ac:dyDescent="0.25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</row>
    <row r="268" spans="1:24" ht="12.75" customHeight="1" x14ac:dyDescent="0.25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</row>
    <row r="269" spans="1:24" ht="12.75" customHeight="1" x14ac:dyDescent="0.25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</row>
    <row r="270" spans="1:24" ht="12.75" customHeight="1" x14ac:dyDescent="0.25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</row>
    <row r="271" spans="1:24" ht="12.75" customHeight="1" x14ac:dyDescent="0.25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</row>
    <row r="272" spans="1:24" ht="12.75" customHeight="1" x14ac:dyDescent="0.25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</row>
    <row r="273" spans="1:24" ht="12.75" customHeight="1" x14ac:dyDescent="0.25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</row>
    <row r="274" spans="1:24" ht="12.75" customHeight="1" x14ac:dyDescent="0.25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</row>
    <row r="275" spans="1:24" ht="12.75" customHeight="1" x14ac:dyDescent="0.25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</row>
    <row r="276" spans="1:24" ht="12.75" customHeight="1" x14ac:dyDescent="0.25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</row>
    <row r="277" spans="1:24" ht="12.75" customHeight="1" x14ac:dyDescent="0.25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</row>
    <row r="278" spans="1:24" ht="12.75" customHeight="1" x14ac:dyDescent="0.25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</row>
    <row r="279" spans="1:24" ht="12.75" customHeight="1" x14ac:dyDescent="0.25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</row>
    <row r="280" spans="1:24" ht="12.75" customHeight="1" x14ac:dyDescent="0.25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</row>
    <row r="281" spans="1:24" ht="12.75" customHeight="1" x14ac:dyDescent="0.25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</row>
    <row r="282" spans="1:24" ht="12.75" customHeight="1" x14ac:dyDescent="0.25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</row>
    <row r="283" spans="1:24" ht="12.75" customHeight="1" x14ac:dyDescent="0.25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</row>
    <row r="284" spans="1:24" ht="12.75" customHeight="1" x14ac:dyDescent="0.25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</row>
    <row r="285" spans="1:24" ht="12.75" customHeight="1" x14ac:dyDescent="0.25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</row>
    <row r="286" spans="1:24" ht="12.75" customHeight="1" x14ac:dyDescent="0.25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</row>
    <row r="287" spans="1:24" ht="12.75" customHeight="1" x14ac:dyDescent="0.25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</row>
    <row r="288" spans="1:24" ht="12.75" customHeight="1" x14ac:dyDescent="0.25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</row>
    <row r="289" spans="1:24" ht="12.75" customHeight="1" x14ac:dyDescent="0.25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</row>
    <row r="290" spans="1:24" ht="12.75" customHeight="1" x14ac:dyDescent="0.25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</row>
    <row r="291" spans="1:24" ht="12.75" customHeight="1" x14ac:dyDescent="0.25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</row>
    <row r="292" spans="1:24" ht="12.75" customHeight="1" x14ac:dyDescent="0.25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</row>
    <row r="293" spans="1:24" ht="12.75" customHeight="1" x14ac:dyDescent="0.25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</row>
    <row r="294" spans="1:24" ht="12.75" customHeight="1" x14ac:dyDescent="0.25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</row>
    <row r="295" spans="1:24" ht="12.75" customHeight="1" x14ac:dyDescent="0.25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</row>
    <row r="296" spans="1:24" ht="12.75" customHeight="1" x14ac:dyDescent="0.25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</row>
    <row r="297" spans="1:24" ht="12.75" customHeight="1" x14ac:dyDescent="0.25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</row>
    <row r="298" spans="1:24" ht="12.75" customHeight="1" x14ac:dyDescent="0.25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</row>
    <row r="299" spans="1:24" ht="12.75" customHeight="1" x14ac:dyDescent="0.25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</row>
    <row r="300" spans="1:24" ht="12.75" customHeight="1" x14ac:dyDescent="0.25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</row>
    <row r="301" spans="1:24" ht="12.75" customHeight="1" x14ac:dyDescent="0.25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</row>
    <row r="302" spans="1:24" ht="12.75" customHeight="1" x14ac:dyDescent="0.25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</row>
    <row r="303" spans="1:24" ht="12.75" customHeight="1" x14ac:dyDescent="0.25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</row>
    <row r="304" spans="1:24" ht="12.75" customHeight="1" x14ac:dyDescent="0.25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</row>
    <row r="305" spans="1:24" ht="12.75" customHeight="1" x14ac:dyDescent="0.25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</row>
    <row r="306" spans="1:24" ht="12.75" customHeight="1" x14ac:dyDescent="0.25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</row>
    <row r="307" spans="1:24" ht="12.75" customHeight="1" x14ac:dyDescent="0.25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</row>
    <row r="308" spans="1:24" ht="12.75" customHeight="1" x14ac:dyDescent="0.25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</row>
    <row r="309" spans="1:24" ht="12.75" customHeight="1" x14ac:dyDescent="0.25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</row>
    <row r="310" spans="1:24" ht="12.75" customHeight="1" x14ac:dyDescent="0.25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</row>
    <row r="311" spans="1:24" ht="12.75" customHeight="1" x14ac:dyDescent="0.25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</row>
    <row r="312" spans="1:24" ht="12.75" customHeight="1" x14ac:dyDescent="0.25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</row>
    <row r="313" spans="1:24" ht="12.75" customHeight="1" x14ac:dyDescent="0.25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</row>
    <row r="314" spans="1:24" ht="12.75" customHeight="1" x14ac:dyDescent="0.25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</row>
    <row r="315" spans="1:24" ht="12.75" customHeight="1" x14ac:dyDescent="0.25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</row>
    <row r="316" spans="1:24" ht="12.75" customHeight="1" x14ac:dyDescent="0.25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</row>
    <row r="317" spans="1:24" ht="12.75" customHeight="1" x14ac:dyDescent="0.25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</row>
    <row r="318" spans="1:24" ht="12.75" customHeight="1" x14ac:dyDescent="0.25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</row>
    <row r="319" spans="1:24" ht="12.75" customHeight="1" x14ac:dyDescent="0.25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</row>
    <row r="320" spans="1:24" ht="12.75" customHeight="1" x14ac:dyDescent="0.25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</row>
    <row r="321" spans="1:24" ht="12.75" customHeight="1" x14ac:dyDescent="0.25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</row>
    <row r="322" spans="1:24" ht="12.75" customHeight="1" x14ac:dyDescent="0.25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</row>
    <row r="323" spans="1:24" ht="12.75" customHeight="1" x14ac:dyDescent="0.25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</row>
    <row r="324" spans="1:24" ht="12.75" customHeight="1" x14ac:dyDescent="0.25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</row>
    <row r="325" spans="1:24" ht="12.75" customHeight="1" x14ac:dyDescent="0.25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</row>
    <row r="326" spans="1:24" ht="12.75" customHeight="1" x14ac:dyDescent="0.25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</row>
    <row r="327" spans="1:24" ht="12.75" customHeight="1" x14ac:dyDescent="0.25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</row>
    <row r="328" spans="1:24" ht="12.75" customHeight="1" x14ac:dyDescent="0.25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</row>
    <row r="329" spans="1:24" ht="12.75" customHeight="1" x14ac:dyDescent="0.25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</row>
    <row r="330" spans="1:24" ht="12.75" customHeight="1" x14ac:dyDescent="0.25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</row>
    <row r="331" spans="1:24" ht="12.75" customHeight="1" x14ac:dyDescent="0.25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</row>
    <row r="332" spans="1:24" ht="12.75" customHeight="1" x14ac:dyDescent="0.25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</row>
    <row r="333" spans="1:24" ht="12.75" customHeight="1" x14ac:dyDescent="0.25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</row>
    <row r="334" spans="1:24" ht="12.75" customHeight="1" x14ac:dyDescent="0.25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</row>
    <row r="335" spans="1:24" ht="12.75" customHeight="1" x14ac:dyDescent="0.25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</row>
    <row r="336" spans="1:24" ht="12.75" customHeight="1" x14ac:dyDescent="0.25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</row>
    <row r="337" spans="1:24" ht="12.75" customHeight="1" x14ac:dyDescent="0.25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</row>
    <row r="338" spans="1:24" ht="12.75" customHeight="1" x14ac:dyDescent="0.25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</row>
    <row r="339" spans="1:24" ht="12.75" customHeight="1" x14ac:dyDescent="0.25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</row>
    <row r="340" spans="1:24" ht="12.75" customHeight="1" x14ac:dyDescent="0.25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</row>
    <row r="341" spans="1:24" ht="12.75" customHeight="1" x14ac:dyDescent="0.25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</row>
    <row r="342" spans="1:24" ht="12.75" customHeight="1" x14ac:dyDescent="0.25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</row>
    <row r="343" spans="1:24" ht="12.75" customHeight="1" x14ac:dyDescent="0.25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</row>
    <row r="344" spans="1:24" ht="12.75" customHeight="1" x14ac:dyDescent="0.25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</row>
    <row r="345" spans="1:24" ht="12.75" customHeight="1" x14ac:dyDescent="0.25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</row>
    <row r="346" spans="1:24" ht="12.75" customHeight="1" x14ac:dyDescent="0.25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</row>
    <row r="347" spans="1:24" ht="12.75" customHeight="1" x14ac:dyDescent="0.25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</row>
    <row r="348" spans="1:24" ht="12.75" customHeight="1" x14ac:dyDescent="0.25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</row>
    <row r="349" spans="1:24" ht="12.75" customHeight="1" x14ac:dyDescent="0.25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</row>
    <row r="350" spans="1:24" ht="12.75" customHeight="1" x14ac:dyDescent="0.25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</row>
    <row r="351" spans="1:24" ht="12.75" customHeight="1" x14ac:dyDescent="0.25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</row>
    <row r="352" spans="1:24" ht="12.75" customHeight="1" x14ac:dyDescent="0.25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</row>
    <row r="353" spans="1:24" ht="12.75" customHeight="1" x14ac:dyDescent="0.25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</row>
    <row r="354" spans="1:24" ht="12.75" customHeight="1" x14ac:dyDescent="0.25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</row>
    <row r="355" spans="1:24" ht="12.75" customHeight="1" x14ac:dyDescent="0.25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</row>
    <row r="356" spans="1:24" ht="12.75" customHeight="1" x14ac:dyDescent="0.25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</row>
    <row r="357" spans="1:24" ht="12.75" customHeight="1" x14ac:dyDescent="0.25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</row>
    <row r="358" spans="1:24" ht="12.75" customHeight="1" x14ac:dyDescent="0.25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</row>
    <row r="359" spans="1:24" ht="12.75" customHeight="1" x14ac:dyDescent="0.25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</row>
    <row r="360" spans="1:24" ht="12.75" customHeight="1" x14ac:dyDescent="0.25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</row>
    <row r="361" spans="1:24" ht="12.75" customHeight="1" x14ac:dyDescent="0.25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</row>
    <row r="362" spans="1:24" ht="12.75" customHeight="1" x14ac:dyDescent="0.25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</row>
    <row r="363" spans="1:24" ht="12.75" customHeight="1" x14ac:dyDescent="0.25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</row>
    <row r="364" spans="1:24" ht="12.75" customHeight="1" x14ac:dyDescent="0.25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</row>
    <row r="365" spans="1:24" ht="12.75" customHeight="1" x14ac:dyDescent="0.25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</row>
    <row r="366" spans="1:24" ht="12.75" customHeight="1" x14ac:dyDescent="0.25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</row>
    <row r="367" spans="1:24" ht="12.75" customHeight="1" x14ac:dyDescent="0.25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</row>
    <row r="368" spans="1:24" ht="12.75" customHeight="1" x14ac:dyDescent="0.25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</row>
    <row r="369" spans="1:24" ht="12.75" customHeight="1" x14ac:dyDescent="0.25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</row>
    <row r="370" spans="1:24" ht="12.75" customHeight="1" x14ac:dyDescent="0.25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</row>
    <row r="371" spans="1:24" ht="12.75" customHeight="1" x14ac:dyDescent="0.25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</row>
    <row r="372" spans="1:24" ht="12.75" customHeight="1" x14ac:dyDescent="0.25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</row>
    <row r="373" spans="1:24" ht="12.75" customHeight="1" x14ac:dyDescent="0.25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</row>
    <row r="374" spans="1:24" ht="12.75" customHeight="1" x14ac:dyDescent="0.25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</row>
    <row r="375" spans="1:24" ht="12.75" customHeight="1" x14ac:dyDescent="0.25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</row>
    <row r="376" spans="1:24" ht="12.75" customHeight="1" x14ac:dyDescent="0.25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</row>
    <row r="377" spans="1:24" ht="12.75" customHeight="1" x14ac:dyDescent="0.25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</row>
    <row r="378" spans="1:24" ht="12.75" customHeight="1" x14ac:dyDescent="0.25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</row>
    <row r="379" spans="1:24" ht="12.75" customHeight="1" x14ac:dyDescent="0.25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</row>
    <row r="380" spans="1:24" ht="12.75" customHeight="1" x14ac:dyDescent="0.25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</row>
    <row r="381" spans="1:24" ht="12.75" customHeight="1" x14ac:dyDescent="0.25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</row>
    <row r="382" spans="1:24" ht="12.75" customHeight="1" x14ac:dyDescent="0.25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</row>
    <row r="383" spans="1:24" ht="12.75" customHeight="1" x14ac:dyDescent="0.25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</row>
    <row r="384" spans="1:24" ht="12.75" customHeight="1" x14ac:dyDescent="0.25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</row>
    <row r="385" spans="1:24" ht="12.75" customHeight="1" x14ac:dyDescent="0.25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</row>
    <row r="386" spans="1:24" ht="12.75" customHeight="1" x14ac:dyDescent="0.25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</row>
    <row r="387" spans="1:24" ht="12.75" customHeight="1" x14ac:dyDescent="0.25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</row>
    <row r="388" spans="1:24" ht="12.75" customHeight="1" x14ac:dyDescent="0.25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</row>
    <row r="389" spans="1:24" ht="12.75" customHeight="1" x14ac:dyDescent="0.25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</row>
    <row r="390" spans="1:24" ht="12.75" customHeight="1" x14ac:dyDescent="0.25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</row>
    <row r="391" spans="1:24" ht="12.75" customHeight="1" x14ac:dyDescent="0.25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</row>
    <row r="392" spans="1:24" ht="12.75" customHeight="1" x14ac:dyDescent="0.25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</row>
    <row r="393" spans="1:24" ht="12.75" customHeight="1" x14ac:dyDescent="0.25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</row>
    <row r="394" spans="1:24" ht="12.75" customHeight="1" x14ac:dyDescent="0.25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</row>
    <row r="395" spans="1:24" ht="12.75" customHeight="1" x14ac:dyDescent="0.25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</row>
    <row r="396" spans="1:24" ht="12.75" customHeight="1" x14ac:dyDescent="0.25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</row>
    <row r="397" spans="1:24" ht="12.75" customHeight="1" x14ac:dyDescent="0.25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</row>
    <row r="398" spans="1:24" ht="12.75" customHeight="1" x14ac:dyDescent="0.25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</row>
    <row r="399" spans="1:24" ht="12.75" customHeight="1" x14ac:dyDescent="0.25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</row>
    <row r="400" spans="1:24" ht="12.75" customHeight="1" x14ac:dyDescent="0.25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</row>
    <row r="401" spans="1:24" ht="12.75" customHeight="1" x14ac:dyDescent="0.25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</row>
    <row r="402" spans="1:24" ht="12.75" customHeight="1" x14ac:dyDescent="0.25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</row>
    <row r="403" spans="1:24" ht="12.75" customHeight="1" x14ac:dyDescent="0.25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</row>
    <row r="404" spans="1:24" ht="12.75" customHeight="1" x14ac:dyDescent="0.25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</row>
    <row r="405" spans="1:24" ht="12.75" customHeight="1" x14ac:dyDescent="0.25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</row>
    <row r="406" spans="1:24" ht="12.75" customHeight="1" x14ac:dyDescent="0.25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</row>
    <row r="407" spans="1:24" ht="12.75" customHeight="1" x14ac:dyDescent="0.25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</row>
    <row r="408" spans="1:24" ht="12.75" customHeight="1" x14ac:dyDescent="0.25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</row>
    <row r="409" spans="1:24" ht="12.75" customHeight="1" x14ac:dyDescent="0.25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</row>
    <row r="410" spans="1:24" ht="12.75" customHeight="1" x14ac:dyDescent="0.25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</row>
    <row r="411" spans="1:24" ht="12.75" customHeight="1" x14ac:dyDescent="0.25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</row>
    <row r="412" spans="1:24" ht="12.75" customHeight="1" x14ac:dyDescent="0.25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</row>
    <row r="413" spans="1:24" ht="12.75" customHeight="1" x14ac:dyDescent="0.25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</row>
    <row r="414" spans="1:24" ht="12.75" customHeight="1" x14ac:dyDescent="0.25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</row>
    <row r="415" spans="1:24" ht="12.75" customHeight="1" x14ac:dyDescent="0.25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</row>
    <row r="416" spans="1:24" ht="12.75" customHeight="1" x14ac:dyDescent="0.25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</row>
    <row r="417" spans="1:24" ht="12.75" customHeight="1" x14ac:dyDescent="0.25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</row>
    <row r="418" spans="1:24" ht="12.75" customHeight="1" x14ac:dyDescent="0.25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</row>
    <row r="419" spans="1:24" ht="12.75" customHeight="1" x14ac:dyDescent="0.25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</row>
    <row r="420" spans="1:24" ht="12.75" customHeight="1" x14ac:dyDescent="0.25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</row>
    <row r="421" spans="1:24" ht="12.75" customHeight="1" x14ac:dyDescent="0.25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</row>
    <row r="422" spans="1:24" ht="12.75" customHeight="1" x14ac:dyDescent="0.25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</row>
    <row r="423" spans="1:24" ht="12.75" customHeight="1" x14ac:dyDescent="0.25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</row>
    <row r="424" spans="1:24" ht="12.75" customHeight="1" x14ac:dyDescent="0.25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</row>
    <row r="425" spans="1:24" ht="12.75" customHeight="1" x14ac:dyDescent="0.25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</row>
    <row r="426" spans="1:24" ht="12.75" customHeight="1" x14ac:dyDescent="0.25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</row>
    <row r="427" spans="1:24" ht="12.75" customHeight="1" x14ac:dyDescent="0.25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</row>
    <row r="428" spans="1:24" ht="12.75" customHeight="1" x14ac:dyDescent="0.25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</row>
    <row r="429" spans="1:24" ht="12.75" customHeight="1" x14ac:dyDescent="0.25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</row>
    <row r="430" spans="1:24" ht="12.75" customHeight="1" x14ac:dyDescent="0.25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</row>
    <row r="431" spans="1:24" ht="12.75" customHeight="1" x14ac:dyDescent="0.25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</row>
    <row r="432" spans="1:24" ht="12.75" customHeight="1" x14ac:dyDescent="0.25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</row>
    <row r="433" spans="1:24" ht="12.75" customHeight="1" x14ac:dyDescent="0.25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</row>
    <row r="434" spans="1:24" ht="12.75" customHeight="1" x14ac:dyDescent="0.25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</row>
    <row r="435" spans="1:24" ht="12.75" customHeight="1" x14ac:dyDescent="0.25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</row>
    <row r="436" spans="1:24" ht="12.75" customHeight="1" x14ac:dyDescent="0.25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</row>
    <row r="437" spans="1:24" ht="12.75" customHeight="1" x14ac:dyDescent="0.25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</row>
    <row r="438" spans="1:24" ht="12.75" customHeight="1" x14ac:dyDescent="0.25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</row>
    <row r="439" spans="1:24" ht="12.75" customHeight="1" x14ac:dyDescent="0.25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</row>
    <row r="440" spans="1:24" ht="12.75" customHeight="1" x14ac:dyDescent="0.25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</row>
    <row r="441" spans="1:24" ht="12.75" customHeight="1" x14ac:dyDescent="0.25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</row>
    <row r="442" spans="1:24" ht="12.75" customHeight="1" x14ac:dyDescent="0.25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</row>
    <row r="443" spans="1:24" ht="12.75" customHeight="1" x14ac:dyDescent="0.25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</row>
    <row r="444" spans="1:24" ht="12.75" customHeight="1" x14ac:dyDescent="0.25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</row>
    <row r="445" spans="1:24" ht="12.75" customHeight="1" x14ac:dyDescent="0.25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</row>
    <row r="446" spans="1:24" ht="12.75" customHeight="1" x14ac:dyDescent="0.25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</row>
    <row r="447" spans="1:24" ht="12.75" customHeight="1" x14ac:dyDescent="0.25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</row>
    <row r="448" spans="1:24" ht="12.75" customHeight="1" x14ac:dyDescent="0.25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</row>
    <row r="449" spans="1:24" ht="12.75" customHeight="1" x14ac:dyDescent="0.25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</row>
    <row r="450" spans="1:24" ht="12.75" customHeight="1" x14ac:dyDescent="0.25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</row>
    <row r="451" spans="1:24" ht="12.75" customHeight="1" x14ac:dyDescent="0.25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</row>
    <row r="452" spans="1:24" ht="12.75" customHeight="1" x14ac:dyDescent="0.25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</row>
    <row r="453" spans="1:24" ht="12.75" customHeight="1" x14ac:dyDescent="0.25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</row>
    <row r="454" spans="1:24" ht="12.75" customHeight="1" x14ac:dyDescent="0.25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</row>
    <row r="455" spans="1:24" ht="12.75" customHeight="1" x14ac:dyDescent="0.25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</row>
    <row r="456" spans="1:24" ht="12.75" customHeight="1" x14ac:dyDescent="0.25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</row>
    <row r="457" spans="1:24" ht="12.75" customHeight="1" x14ac:dyDescent="0.25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</row>
    <row r="458" spans="1:24" ht="12.75" customHeight="1" x14ac:dyDescent="0.25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</row>
    <row r="459" spans="1:24" ht="12.75" customHeight="1" x14ac:dyDescent="0.25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</row>
    <row r="460" spans="1:24" ht="12.75" customHeight="1" x14ac:dyDescent="0.25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</row>
    <row r="461" spans="1:24" ht="12.75" customHeight="1" x14ac:dyDescent="0.25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</row>
    <row r="462" spans="1:24" ht="12.75" customHeight="1" x14ac:dyDescent="0.25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</row>
    <row r="463" spans="1:24" ht="12.75" customHeight="1" x14ac:dyDescent="0.25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</row>
    <row r="464" spans="1:24" ht="12.75" customHeight="1" x14ac:dyDescent="0.25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</row>
    <row r="465" spans="1:24" ht="12.75" customHeight="1" x14ac:dyDescent="0.25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</row>
    <row r="466" spans="1:24" ht="12.75" customHeight="1" x14ac:dyDescent="0.25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</row>
    <row r="467" spans="1:24" ht="12.75" customHeight="1" x14ac:dyDescent="0.25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</row>
    <row r="468" spans="1:24" ht="12.75" customHeight="1" x14ac:dyDescent="0.25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</row>
    <row r="469" spans="1:24" ht="12.75" customHeight="1" x14ac:dyDescent="0.25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</row>
    <row r="470" spans="1:24" ht="12.75" customHeight="1" x14ac:dyDescent="0.25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</row>
    <row r="471" spans="1:24" ht="12.75" customHeight="1" x14ac:dyDescent="0.25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</row>
    <row r="472" spans="1:24" ht="12.75" customHeight="1" x14ac:dyDescent="0.25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</row>
    <row r="473" spans="1:24" ht="12.75" customHeight="1" x14ac:dyDescent="0.25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</row>
    <row r="474" spans="1:24" ht="12.75" customHeight="1" x14ac:dyDescent="0.25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</row>
    <row r="475" spans="1:24" ht="12.75" customHeight="1" x14ac:dyDescent="0.25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</row>
    <row r="476" spans="1:24" ht="12.75" customHeight="1" x14ac:dyDescent="0.25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</row>
    <row r="477" spans="1:24" ht="12.75" customHeight="1" x14ac:dyDescent="0.25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</row>
    <row r="478" spans="1:24" ht="12.75" customHeight="1" x14ac:dyDescent="0.25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</row>
    <row r="479" spans="1:24" ht="12.75" customHeight="1" x14ac:dyDescent="0.25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</row>
    <row r="480" spans="1:24" ht="12.75" customHeight="1" x14ac:dyDescent="0.25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</row>
    <row r="481" spans="1:24" ht="12.75" customHeight="1" x14ac:dyDescent="0.25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</row>
    <row r="482" spans="1:24" ht="12.75" customHeight="1" x14ac:dyDescent="0.25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</row>
    <row r="483" spans="1:24" ht="12.75" customHeight="1" x14ac:dyDescent="0.25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</row>
    <row r="484" spans="1:24" ht="12.75" customHeight="1" x14ac:dyDescent="0.25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</row>
    <row r="485" spans="1:24" ht="12.75" customHeight="1" x14ac:dyDescent="0.25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</row>
    <row r="486" spans="1:24" ht="12.75" customHeight="1" x14ac:dyDescent="0.25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</row>
    <row r="487" spans="1:24" ht="12.75" customHeight="1" x14ac:dyDescent="0.25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</row>
    <row r="488" spans="1:24" ht="12.75" customHeight="1" x14ac:dyDescent="0.25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</row>
    <row r="489" spans="1:24" ht="12.75" customHeight="1" x14ac:dyDescent="0.25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</row>
    <row r="490" spans="1:24" ht="12.75" customHeight="1" x14ac:dyDescent="0.25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</row>
    <row r="491" spans="1:24" ht="12.75" customHeight="1" x14ac:dyDescent="0.25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</row>
    <row r="492" spans="1:24" ht="12.75" customHeight="1" x14ac:dyDescent="0.25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</row>
    <row r="493" spans="1:24" ht="12.75" customHeight="1" x14ac:dyDescent="0.25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</row>
    <row r="494" spans="1:24" ht="12.75" customHeight="1" x14ac:dyDescent="0.25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</row>
    <row r="495" spans="1:24" ht="12.75" customHeight="1" x14ac:dyDescent="0.25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</row>
    <row r="496" spans="1:24" ht="12.75" customHeight="1" x14ac:dyDescent="0.25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</row>
    <row r="497" spans="1:24" ht="12.75" customHeight="1" x14ac:dyDescent="0.25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</row>
    <row r="498" spans="1:24" ht="12.75" customHeight="1" x14ac:dyDescent="0.25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</row>
    <row r="499" spans="1:24" ht="12.75" customHeight="1" x14ac:dyDescent="0.25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</row>
    <row r="500" spans="1:24" ht="12.75" customHeight="1" x14ac:dyDescent="0.25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</row>
    <row r="501" spans="1:24" ht="12.75" customHeight="1" x14ac:dyDescent="0.25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</row>
    <row r="502" spans="1:24" ht="12.75" customHeight="1" x14ac:dyDescent="0.25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</row>
    <row r="503" spans="1:24" ht="12.75" customHeight="1" x14ac:dyDescent="0.25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</row>
    <row r="504" spans="1:24" ht="12.75" customHeight="1" x14ac:dyDescent="0.25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</row>
    <row r="505" spans="1:24" ht="12.75" customHeight="1" x14ac:dyDescent="0.25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</row>
    <row r="506" spans="1:24" ht="12.75" customHeight="1" x14ac:dyDescent="0.25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</row>
    <row r="507" spans="1:24" ht="12.75" customHeight="1" x14ac:dyDescent="0.25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</row>
    <row r="508" spans="1:24" ht="12.75" customHeight="1" x14ac:dyDescent="0.25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</row>
    <row r="509" spans="1:24" ht="12.75" customHeight="1" x14ac:dyDescent="0.25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</row>
    <row r="510" spans="1:24" ht="12.75" customHeight="1" x14ac:dyDescent="0.25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</row>
    <row r="511" spans="1:24" ht="12.75" customHeight="1" x14ac:dyDescent="0.25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</row>
    <row r="512" spans="1:24" ht="12.75" customHeight="1" x14ac:dyDescent="0.25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</row>
    <row r="513" spans="1:24" ht="12.75" customHeight="1" x14ac:dyDescent="0.25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</row>
    <row r="514" spans="1:24" ht="12.75" customHeight="1" x14ac:dyDescent="0.25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</row>
    <row r="515" spans="1:24" ht="12.75" customHeight="1" x14ac:dyDescent="0.25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</row>
    <row r="516" spans="1:24" ht="12.75" customHeight="1" x14ac:dyDescent="0.25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</row>
    <row r="517" spans="1:24" ht="12.75" customHeight="1" x14ac:dyDescent="0.25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</row>
    <row r="518" spans="1:24" ht="12.75" customHeight="1" x14ac:dyDescent="0.25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</row>
    <row r="519" spans="1:24" ht="12.75" customHeight="1" x14ac:dyDescent="0.25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</row>
    <row r="520" spans="1:24" ht="12.75" customHeight="1" x14ac:dyDescent="0.25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</row>
    <row r="521" spans="1:24" ht="12.75" customHeight="1" x14ac:dyDescent="0.25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</row>
    <row r="522" spans="1:24" ht="12.75" customHeight="1" x14ac:dyDescent="0.25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</row>
    <row r="523" spans="1:24" ht="12.75" customHeight="1" x14ac:dyDescent="0.25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</row>
    <row r="524" spans="1:24" ht="12.75" customHeight="1" x14ac:dyDescent="0.25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</row>
    <row r="525" spans="1:24" ht="12.75" customHeight="1" x14ac:dyDescent="0.25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</row>
    <row r="526" spans="1:24" ht="12.75" customHeight="1" x14ac:dyDescent="0.25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</row>
    <row r="527" spans="1:24" ht="12.75" customHeight="1" x14ac:dyDescent="0.25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</row>
    <row r="528" spans="1:24" ht="12.75" customHeight="1" x14ac:dyDescent="0.25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</row>
    <row r="529" spans="1:24" ht="12.75" customHeight="1" x14ac:dyDescent="0.25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</row>
    <row r="530" spans="1:24" ht="12.75" customHeight="1" x14ac:dyDescent="0.25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</row>
    <row r="531" spans="1:24" ht="12.75" customHeight="1" x14ac:dyDescent="0.25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</row>
    <row r="532" spans="1:24" ht="12.75" customHeight="1" x14ac:dyDescent="0.25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</row>
    <row r="533" spans="1:24" ht="12.75" customHeight="1" x14ac:dyDescent="0.25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</row>
    <row r="534" spans="1:24" ht="12.75" customHeight="1" x14ac:dyDescent="0.25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</row>
    <row r="535" spans="1:24" ht="12.75" customHeight="1" x14ac:dyDescent="0.25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</row>
    <row r="536" spans="1:24" ht="12.75" customHeight="1" x14ac:dyDescent="0.25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</row>
    <row r="537" spans="1:24" ht="12.75" customHeight="1" x14ac:dyDescent="0.25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</row>
    <row r="538" spans="1:24" ht="12.75" customHeight="1" x14ac:dyDescent="0.25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</row>
    <row r="539" spans="1:24" ht="12.75" customHeight="1" x14ac:dyDescent="0.25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</row>
    <row r="540" spans="1:24" ht="12.75" customHeight="1" x14ac:dyDescent="0.25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</row>
    <row r="541" spans="1:24" ht="12.75" customHeight="1" x14ac:dyDescent="0.25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</row>
    <row r="542" spans="1:24" ht="12.75" customHeight="1" x14ac:dyDescent="0.25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</row>
    <row r="543" spans="1:24" ht="12.75" customHeight="1" x14ac:dyDescent="0.25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</row>
    <row r="544" spans="1:24" ht="12.75" customHeight="1" x14ac:dyDescent="0.25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</row>
    <row r="545" spans="1:24" ht="12.75" customHeight="1" x14ac:dyDescent="0.25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</row>
    <row r="546" spans="1:24" ht="12.75" customHeight="1" x14ac:dyDescent="0.25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</row>
    <row r="547" spans="1:24" ht="12.75" customHeight="1" x14ac:dyDescent="0.25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</row>
    <row r="548" spans="1:24" ht="12.75" customHeight="1" x14ac:dyDescent="0.25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</row>
    <row r="549" spans="1:24" ht="12.75" customHeight="1" x14ac:dyDescent="0.25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</row>
    <row r="550" spans="1:24" ht="12.75" customHeight="1" x14ac:dyDescent="0.25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</row>
    <row r="551" spans="1:24" ht="12.75" customHeight="1" x14ac:dyDescent="0.25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</row>
    <row r="552" spans="1:24" ht="12.75" customHeight="1" x14ac:dyDescent="0.25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</row>
    <row r="553" spans="1:24" ht="12.75" customHeight="1" x14ac:dyDescent="0.25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</row>
    <row r="554" spans="1:24" ht="12.75" customHeight="1" x14ac:dyDescent="0.25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</row>
    <row r="555" spans="1:24" ht="12.75" customHeight="1" x14ac:dyDescent="0.25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</row>
    <row r="556" spans="1:24" ht="12.75" customHeight="1" x14ac:dyDescent="0.25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</row>
    <row r="557" spans="1:24" ht="12.75" customHeight="1" x14ac:dyDescent="0.25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</row>
    <row r="558" spans="1:24" ht="12.75" customHeight="1" x14ac:dyDescent="0.25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</row>
    <row r="559" spans="1:24" ht="12.75" customHeight="1" x14ac:dyDescent="0.25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</row>
    <row r="560" spans="1:24" ht="12.75" customHeight="1" x14ac:dyDescent="0.25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</row>
    <row r="561" spans="1:24" ht="12.75" customHeight="1" x14ac:dyDescent="0.25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</row>
    <row r="562" spans="1:24" ht="12.75" customHeight="1" x14ac:dyDescent="0.25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</row>
    <row r="563" spans="1:24" ht="12.75" customHeight="1" x14ac:dyDescent="0.25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</row>
    <row r="564" spans="1:24" ht="12.75" customHeight="1" x14ac:dyDescent="0.25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</row>
    <row r="565" spans="1:24" ht="12.75" customHeight="1" x14ac:dyDescent="0.25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</row>
    <row r="566" spans="1:24" ht="12.75" customHeight="1" x14ac:dyDescent="0.25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</row>
    <row r="567" spans="1:24" ht="12.75" customHeight="1" x14ac:dyDescent="0.25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</row>
    <row r="568" spans="1:24" ht="12.75" customHeight="1" x14ac:dyDescent="0.25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</row>
    <row r="569" spans="1:24" ht="12.75" customHeight="1" x14ac:dyDescent="0.25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</row>
    <row r="570" spans="1:24" ht="12.75" customHeight="1" x14ac:dyDescent="0.25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</row>
    <row r="571" spans="1:24" ht="12.75" customHeight="1" x14ac:dyDescent="0.25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</row>
    <row r="572" spans="1:24" ht="12.75" customHeight="1" x14ac:dyDescent="0.25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</row>
    <row r="573" spans="1:24" ht="12.75" customHeight="1" x14ac:dyDescent="0.25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</row>
    <row r="574" spans="1:24" ht="12.75" customHeight="1" x14ac:dyDescent="0.25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</row>
    <row r="575" spans="1:24" ht="12.75" customHeight="1" x14ac:dyDescent="0.25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</row>
    <row r="576" spans="1:24" ht="12.75" customHeight="1" x14ac:dyDescent="0.25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</row>
    <row r="577" spans="1:24" ht="12.75" customHeight="1" x14ac:dyDescent="0.25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</row>
    <row r="578" spans="1:24" ht="12.75" customHeight="1" x14ac:dyDescent="0.25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</row>
    <row r="579" spans="1:24" ht="12.75" customHeight="1" x14ac:dyDescent="0.25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</row>
    <row r="580" spans="1:24" ht="12.75" customHeight="1" x14ac:dyDescent="0.25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</row>
    <row r="581" spans="1:24" ht="12.75" customHeight="1" x14ac:dyDescent="0.25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</row>
    <row r="582" spans="1:24" ht="12.75" customHeight="1" x14ac:dyDescent="0.25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</row>
    <row r="583" spans="1:24" ht="12.75" customHeight="1" x14ac:dyDescent="0.25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</row>
    <row r="584" spans="1:24" ht="12.75" customHeight="1" x14ac:dyDescent="0.25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</row>
    <row r="585" spans="1:24" ht="12.75" customHeight="1" x14ac:dyDescent="0.25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</row>
    <row r="586" spans="1:24" ht="12.75" customHeight="1" x14ac:dyDescent="0.25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</row>
    <row r="587" spans="1:24" ht="12.75" customHeight="1" x14ac:dyDescent="0.25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</row>
    <row r="588" spans="1:24" ht="12.75" customHeight="1" x14ac:dyDescent="0.25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</row>
    <row r="589" spans="1:24" ht="12.75" customHeight="1" x14ac:dyDescent="0.25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</row>
    <row r="590" spans="1:24" ht="12.75" customHeight="1" x14ac:dyDescent="0.25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</row>
    <row r="591" spans="1:24" ht="12.75" customHeight="1" x14ac:dyDescent="0.25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</row>
    <row r="592" spans="1:24" ht="12.75" customHeight="1" x14ac:dyDescent="0.25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</row>
    <row r="593" spans="1:24" ht="12.75" customHeight="1" x14ac:dyDescent="0.25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</row>
    <row r="594" spans="1:24" ht="12.75" customHeight="1" x14ac:dyDescent="0.25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</row>
    <row r="595" spans="1:24" ht="12.75" customHeight="1" x14ac:dyDescent="0.25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</row>
    <row r="596" spans="1:24" ht="12.75" customHeight="1" x14ac:dyDescent="0.25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</row>
    <row r="597" spans="1:24" ht="12.75" customHeight="1" x14ac:dyDescent="0.25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</row>
    <row r="598" spans="1:24" ht="12.75" customHeight="1" x14ac:dyDescent="0.25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</row>
    <row r="599" spans="1:24" ht="12.75" customHeight="1" x14ac:dyDescent="0.25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</row>
    <row r="600" spans="1:24" ht="12.75" customHeight="1" x14ac:dyDescent="0.25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</row>
    <row r="601" spans="1:24" ht="12.75" customHeight="1" x14ac:dyDescent="0.25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</row>
    <row r="602" spans="1:24" ht="12.75" customHeight="1" x14ac:dyDescent="0.25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</row>
    <row r="603" spans="1:24" ht="12.75" customHeight="1" x14ac:dyDescent="0.25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</row>
    <row r="604" spans="1:24" ht="12.75" customHeight="1" x14ac:dyDescent="0.25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</row>
    <row r="605" spans="1:24" ht="12.75" customHeight="1" x14ac:dyDescent="0.25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</row>
    <row r="606" spans="1:24" ht="12.75" customHeight="1" x14ac:dyDescent="0.25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</row>
    <row r="607" spans="1:24" ht="12.75" customHeight="1" x14ac:dyDescent="0.25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</row>
    <row r="608" spans="1:24" ht="12.75" customHeight="1" x14ac:dyDescent="0.25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</row>
    <row r="609" spans="1:24" ht="12.75" customHeight="1" x14ac:dyDescent="0.25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</row>
    <row r="610" spans="1:24" ht="12.75" customHeight="1" x14ac:dyDescent="0.25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</row>
    <row r="611" spans="1:24" ht="12.75" customHeight="1" x14ac:dyDescent="0.25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</row>
    <row r="612" spans="1:24" ht="12.75" customHeight="1" x14ac:dyDescent="0.25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</row>
    <row r="613" spans="1:24" ht="12.75" customHeight="1" x14ac:dyDescent="0.25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</row>
    <row r="614" spans="1:24" ht="12.75" customHeight="1" x14ac:dyDescent="0.25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</row>
    <row r="615" spans="1:24" ht="12.75" customHeight="1" x14ac:dyDescent="0.25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</row>
    <row r="616" spans="1:24" ht="12.75" customHeight="1" x14ac:dyDescent="0.25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</row>
    <row r="617" spans="1:24" ht="12.75" customHeight="1" x14ac:dyDescent="0.25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</row>
    <row r="618" spans="1:24" ht="12.75" customHeight="1" x14ac:dyDescent="0.25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</row>
    <row r="619" spans="1:24" ht="12.75" customHeight="1" x14ac:dyDescent="0.25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</row>
    <row r="620" spans="1:24" ht="12.75" customHeight="1" x14ac:dyDescent="0.25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</row>
    <row r="621" spans="1:24" ht="12.75" customHeight="1" x14ac:dyDescent="0.25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</row>
    <row r="622" spans="1:24" ht="12.75" customHeight="1" x14ac:dyDescent="0.25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</row>
    <row r="623" spans="1:24" ht="12.75" customHeight="1" x14ac:dyDescent="0.25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</row>
    <row r="624" spans="1:24" ht="12.75" customHeight="1" x14ac:dyDescent="0.25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</row>
    <row r="625" spans="1:24" ht="12.75" customHeight="1" x14ac:dyDescent="0.25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</row>
    <row r="626" spans="1:24" ht="12.75" customHeight="1" x14ac:dyDescent="0.25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</row>
    <row r="627" spans="1:24" ht="12.75" customHeight="1" x14ac:dyDescent="0.25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</row>
    <row r="628" spans="1:24" ht="12.75" customHeight="1" x14ac:dyDescent="0.25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</row>
    <row r="629" spans="1:24" ht="12.75" customHeight="1" x14ac:dyDescent="0.25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</row>
    <row r="630" spans="1:24" ht="12.75" customHeight="1" x14ac:dyDescent="0.25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</row>
    <row r="631" spans="1:24" ht="12.75" customHeight="1" x14ac:dyDescent="0.25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</row>
    <row r="632" spans="1:24" ht="12.75" customHeight="1" x14ac:dyDescent="0.25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</row>
    <row r="633" spans="1:24" ht="12.75" customHeight="1" x14ac:dyDescent="0.25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</row>
    <row r="634" spans="1:24" ht="12.75" customHeight="1" x14ac:dyDescent="0.25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</row>
    <row r="635" spans="1:24" ht="12.75" customHeight="1" x14ac:dyDescent="0.25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</row>
    <row r="636" spans="1:24" ht="12.75" customHeight="1" x14ac:dyDescent="0.25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</row>
    <row r="637" spans="1:24" ht="12.75" customHeight="1" x14ac:dyDescent="0.25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</row>
    <row r="638" spans="1:24" ht="12.75" customHeight="1" x14ac:dyDescent="0.25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</row>
    <row r="639" spans="1:24" ht="12.75" customHeight="1" x14ac:dyDescent="0.25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</row>
    <row r="640" spans="1:24" ht="12.75" customHeight="1" x14ac:dyDescent="0.25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</row>
    <row r="641" spans="1:24" ht="12.75" customHeight="1" x14ac:dyDescent="0.25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</row>
    <row r="642" spans="1:24" ht="12.75" customHeight="1" x14ac:dyDescent="0.25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</row>
    <row r="643" spans="1:24" ht="12.75" customHeight="1" x14ac:dyDescent="0.25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</row>
    <row r="644" spans="1:24" ht="12.75" customHeight="1" x14ac:dyDescent="0.25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</row>
    <row r="645" spans="1:24" ht="12.75" customHeight="1" x14ac:dyDescent="0.25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</row>
    <row r="646" spans="1:24" ht="12.75" customHeight="1" x14ac:dyDescent="0.25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</row>
    <row r="647" spans="1:24" ht="12.75" customHeight="1" x14ac:dyDescent="0.25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</row>
    <row r="648" spans="1:24" ht="12.75" customHeight="1" x14ac:dyDescent="0.25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</row>
    <row r="649" spans="1:24" ht="12.75" customHeight="1" x14ac:dyDescent="0.25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</row>
    <row r="650" spans="1:24" ht="12.75" customHeight="1" x14ac:dyDescent="0.25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</row>
    <row r="651" spans="1:24" ht="12.75" customHeight="1" x14ac:dyDescent="0.25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</row>
    <row r="652" spans="1:24" ht="12.75" customHeight="1" x14ac:dyDescent="0.25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</row>
    <row r="653" spans="1:24" ht="12.75" customHeight="1" x14ac:dyDescent="0.25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</row>
    <row r="654" spans="1:24" ht="12.75" customHeight="1" x14ac:dyDescent="0.25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</row>
    <row r="655" spans="1:24" ht="12.75" customHeight="1" x14ac:dyDescent="0.25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</row>
    <row r="656" spans="1:24" ht="12.75" customHeight="1" x14ac:dyDescent="0.25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</row>
    <row r="657" spans="1:24" ht="12.75" customHeight="1" x14ac:dyDescent="0.25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</row>
    <row r="658" spans="1:24" ht="12.75" customHeight="1" x14ac:dyDescent="0.25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</row>
    <row r="659" spans="1:24" ht="12.75" customHeight="1" x14ac:dyDescent="0.25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</row>
    <row r="660" spans="1:24" ht="12.75" customHeight="1" x14ac:dyDescent="0.25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</row>
    <row r="661" spans="1:24" ht="12.75" customHeight="1" x14ac:dyDescent="0.25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</row>
    <row r="662" spans="1:24" ht="12.75" customHeight="1" x14ac:dyDescent="0.25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</row>
    <row r="663" spans="1:24" ht="12.75" customHeight="1" x14ac:dyDescent="0.25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</row>
    <row r="664" spans="1:24" ht="12.75" customHeight="1" x14ac:dyDescent="0.25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</row>
    <row r="665" spans="1:24" ht="12.75" customHeight="1" x14ac:dyDescent="0.25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</row>
    <row r="666" spans="1:24" ht="12.75" customHeight="1" x14ac:dyDescent="0.25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</row>
    <row r="667" spans="1:24" ht="12.75" customHeight="1" x14ac:dyDescent="0.25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</row>
    <row r="668" spans="1:24" ht="12.75" customHeight="1" x14ac:dyDescent="0.25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</row>
    <row r="669" spans="1:24" ht="12.75" customHeight="1" x14ac:dyDescent="0.25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</row>
    <row r="670" spans="1:24" ht="12.75" customHeight="1" x14ac:dyDescent="0.25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</row>
    <row r="671" spans="1:24" ht="12.75" customHeight="1" x14ac:dyDescent="0.25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</row>
    <row r="672" spans="1:24" ht="12.75" customHeight="1" x14ac:dyDescent="0.25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</row>
    <row r="673" spans="1:24" ht="12.75" customHeight="1" x14ac:dyDescent="0.25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</row>
    <row r="674" spans="1:24" ht="12.75" customHeight="1" x14ac:dyDescent="0.25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</row>
    <row r="675" spans="1:24" ht="12.75" customHeight="1" x14ac:dyDescent="0.25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</row>
    <row r="676" spans="1:24" ht="12.75" customHeight="1" x14ac:dyDescent="0.25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</row>
    <row r="677" spans="1:24" ht="12.75" customHeight="1" x14ac:dyDescent="0.25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</row>
    <row r="678" spans="1:24" ht="12.75" customHeight="1" x14ac:dyDescent="0.25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</row>
    <row r="679" spans="1:24" ht="12.75" customHeight="1" x14ac:dyDescent="0.25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</row>
    <row r="680" spans="1:24" ht="12.75" customHeight="1" x14ac:dyDescent="0.25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</row>
    <row r="681" spans="1:24" ht="12.75" customHeight="1" x14ac:dyDescent="0.25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</row>
    <row r="682" spans="1:24" ht="12.75" customHeight="1" x14ac:dyDescent="0.25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</row>
    <row r="683" spans="1:24" ht="12.75" customHeight="1" x14ac:dyDescent="0.25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</row>
    <row r="684" spans="1:24" ht="12.75" customHeight="1" x14ac:dyDescent="0.25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</row>
    <row r="685" spans="1:24" ht="12.75" customHeight="1" x14ac:dyDescent="0.25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</row>
    <row r="686" spans="1:24" ht="12.75" customHeight="1" x14ac:dyDescent="0.25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</row>
    <row r="687" spans="1:24" ht="12.75" customHeight="1" x14ac:dyDescent="0.25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</row>
    <row r="688" spans="1:24" ht="12.75" customHeight="1" x14ac:dyDescent="0.25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</row>
    <row r="689" spans="1:24" ht="12.75" customHeight="1" x14ac:dyDescent="0.25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</row>
    <row r="690" spans="1:24" ht="12.75" customHeight="1" x14ac:dyDescent="0.25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</row>
    <row r="691" spans="1:24" ht="12.75" customHeight="1" x14ac:dyDescent="0.25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</row>
    <row r="692" spans="1:24" ht="12.75" customHeight="1" x14ac:dyDescent="0.25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</row>
    <row r="693" spans="1:24" ht="12.75" customHeight="1" x14ac:dyDescent="0.25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</row>
    <row r="694" spans="1:24" ht="12.75" customHeight="1" x14ac:dyDescent="0.25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</row>
    <row r="695" spans="1:24" ht="12.75" customHeight="1" x14ac:dyDescent="0.25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</row>
    <row r="696" spans="1:24" ht="12.75" customHeight="1" x14ac:dyDescent="0.25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</row>
    <row r="697" spans="1:24" ht="12.75" customHeight="1" x14ac:dyDescent="0.25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</row>
    <row r="698" spans="1:24" ht="12.75" customHeight="1" x14ac:dyDescent="0.25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</row>
    <row r="699" spans="1:24" ht="12.75" customHeight="1" x14ac:dyDescent="0.25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</row>
    <row r="700" spans="1:24" ht="12.75" customHeight="1" x14ac:dyDescent="0.25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</row>
    <row r="701" spans="1:24" ht="12.75" customHeight="1" x14ac:dyDescent="0.25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</row>
    <row r="702" spans="1:24" ht="12.75" customHeight="1" x14ac:dyDescent="0.25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</row>
    <row r="703" spans="1:24" ht="12.75" customHeight="1" x14ac:dyDescent="0.25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</row>
    <row r="704" spans="1:24" ht="12.75" customHeight="1" x14ac:dyDescent="0.25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</row>
    <row r="705" spans="1:24" ht="12.75" customHeight="1" x14ac:dyDescent="0.25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</row>
    <row r="706" spans="1:24" ht="12.75" customHeight="1" x14ac:dyDescent="0.25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</row>
    <row r="707" spans="1:24" ht="12.75" customHeight="1" x14ac:dyDescent="0.25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</row>
    <row r="708" spans="1:24" ht="12.75" customHeight="1" x14ac:dyDescent="0.25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</row>
    <row r="709" spans="1:24" ht="12.75" customHeight="1" x14ac:dyDescent="0.25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</row>
    <row r="710" spans="1:24" ht="12.75" customHeight="1" x14ac:dyDescent="0.25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</row>
    <row r="711" spans="1:24" ht="12.75" customHeight="1" x14ac:dyDescent="0.25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</row>
    <row r="712" spans="1:24" ht="12.75" customHeight="1" x14ac:dyDescent="0.25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</row>
    <row r="713" spans="1:24" ht="12.75" customHeight="1" x14ac:dyDescent="0.25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</row>
    <row r="714" spans="1:24" ht="12.75" customHeight="1" x14ac:dyDescent="0.25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</row>
    <row r="715" spans="1:24" ht="12.75" customHeight="1" x14ac:dyDescent="0.25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</row>
    <row r="716" spans="1:24" ht="12.75" customHeight="1" x14ac:dyDescent="0.25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</row>
    <row r="717" spans="1:24" ht="12.75" customHeight="1" x14ac:dyDescent="0.25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</row>
    <row r="718" spans="1:24" ht="12.75" customHeight="1" x14ac:dyDescent="0.25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</row>
    <row r="719" spans="1:24" ht="12.75" customHeight="1" x14ac:dyDescent="0.25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</row>
    <row r="720" spans="1:24" ht="12.75" customHeight="1" x14ac:dyDescent="0.25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</row>
    <row r="721" spans="1:24" ht="12.75" customHeight="1" x14ac:dyDescent="0.25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</row>
    <row r="722" spans="1:24" ht="12.75" customHeight="1" x14ac:dyDescent="0.25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</row>
    <row r="723" spans="1:24" ht="12.75" customHeight="1" x14ac:dyDescent="0.25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</row>
    <row r="724" spans="1:24" ht="12.75" customHeight="1" x14ac:dyDescent="0.25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</row>
    <row r="725" spans="1:24" ht="12.75" customHeight="1" x14ac:dyDescent="0.25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</row>
    <row r="726" spans="1:24" ht="12.75" customHeight="1" x14ac:dyDescent="0.25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</row>
    <row r="727" spans="1:24" ht="12.75" customHeight="1" x14ac:dyDescent="0.25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</row>
    <row r="728" spans="1:24" ht="12.75" customHeight="1" x14ac:dyDescent="0.25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</row>
    <row r="729" spans="1:24" ht="12.75" customHeight="1" x14ac:dyDescent="0.25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</row>
    <row r="730" spans="1:24" ht="12.75" customHeight="1" x14ac:dyDescent="0.25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</row>
    <row r="731" spans="1:24" ht="12.75" customHeight="1" x14ac:dyDescent="0.25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</row>
    <row r="732" spans="1:24" ht="12.75" customHeight="1" x14ac:dyDescent="0.25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</row>
    <row r="733" spans="1:24" ht="12.75" customHeight="1" x14ac:dyDescent="0.25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</row>
    <row r="734" spans="1:24" ht="12.75" customHeight="1" x14ac:dyDescent="0.25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</row>
    <row r="735" spans="1:24" ht="12.75" customHeight="1" x14ac:dyDescent="0.25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</row>
    <row r="736" spans="1:24" ht="12.75" customHeight="1" x14ac:dyDescent="0.25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</row>
    <row r="737" spans="1:24" ht="12.75" customHeight="1" x14ac:dyDescent="0.25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</row>
    <row r="738" spans="1:24" ht="12.75" customHeight="1" x14ac:dyDescent="0.25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</row>
    <row r="739" spans="1:24" ht="12.75" customHeight="1" x14ac:dyDescent="0.25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</row>
    <row r="740" spans="1:24" ht="12.75" customHeight="1" x14ac:dyDescent="0.25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</row>
    <row r="741" spans="1:24" ht="12.75" customHeight="1" x14ac:dyDescent="0.25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</row>
    <row r="742" spans="1:24" ht="12.75" customHeight="1" x14ac:dyDescent="0.25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</row>
    <row r="743" spans="1:24" ht="12.75" customHeight="1" x14ac:dyDescent="0.25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</row>
    <row r="744" spans="1:24" ht="12.75" customHeight="1" x14ac:dyDescent="0.25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</row>
    <row r="745" spans="1:24" ht="12.75" customHeight="1" x14ac:dyDescent="0.25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</row>
    <row r="746" spans="1:24" ht="12.75" customHeight="1" x14ac:dyDescent="0.25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</row>
    <row r="747" spans="1:24" ht="12.75" customHeight="1" x14ac:dyDescent="0.25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</row>
    <row r="748" spans="1:24" ht="12.75" customHeight="1" x14ac:dyDescent="0.25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</row>
    <row r="749" spans="1:24" ht="12.75" customHeight="1" x14ac:dyDescent="0.25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</row>
    <row r="750" spans="1:24" ht="12.75" customHeight="1" x14ac:dyDescent="0.25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</row>
    <row r="751" spans="1:24" ht="12.75" customHeight="1" x14ac:dyDescent="0.25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</row>
    <row r="752" spans="1:24" ht="12.75" customHeight="1" x14ac:dyDescent="0.25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</row>
    <row r="753" spans="1:24" ht="12.75" customHeight="1" x14ac:dyDescent="0.25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</row>
    <row r="754" spans="1:24" ht="12.75" customHeight="1" x14ac:dyDescent="0.25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</row>
    <row r="755" spans="1:24" ht="12.75" customHeight="1" x14ac:dyDescent="0.25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</row>
    <row r="756" spans="1:24" ht="12.75" customHeight="1" x14ac:dyDescent="0.25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</row>
    <row r="757" spans="1:24" ht="12.75" customHeight="1" x14ac:dyDescent="0.25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</row>
    <row r="758" spans="1:24" ht="12.75" customHeight="1" x14ac:dyDescent="0.25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</row>
    <row r="759" spans="1:24" ht="12.75" customHeight="1" x14ac:dyDescent="0.25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</row>
    <row r="760" spans="1:24" ht="12.75" customHeight="1" x14ac:dyDescent="0.25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</row>
    <row r="761" spans="1:24" ht="12.75" customHeight="1" x14ac:dyDescent="0.25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</row>
    <row r="762" spans="1:24" ht="12.75" customHeight="1" x14ac:dyDescent="0.25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</row>
    <row r="763" spans="1:24" ht="12.75" customHeight="1" x14ac:dyDescent="0.25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</row>
    <row r="764" spans="1:24" ht="12.75" customHeight="1" x14ac:dyDescent="0.25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</row>
    <row r="765" spans="1:24" ht="12.75" customHeight="1" x14ac:dyDescent="0.25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</row>
    <row r="766" spans="1:24" ht="12.75" customHeight="1" x14ac:dyDescent="0.25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</row>
    <row r="767" spans="1:24" ht="12.75" customHeight="1" x14ac:dyDescent="0.25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</row>
    <row r="768" spans="1:24" ht="12.75" customHeight="1" x14ac:dyDescent="0.25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</row>
    <row r="769" spans="1:24" ht="12.75" customHeight="1" x14ac:dyDescent="0.25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</row>
    <row r="770" spans="1:24" ht="12.75" customHeight="1" x14ac:dyDescent="0.25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</row>
    <row r="771" spans="1:24" ht="12.75" customHeight="1" x14ac:dyDescent="0.25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</row>
    <row r="772" spans="1:24" ht="12.75" customHeight="1" x14ac:dyDescent="0.25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</row>
    <row r="773" spans="1:24" ht="12.75" customHeight="1" x14ac:dyDescent="0.25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</row>
    <row r="774" spans="1:24" ht="12.75" customHeight="1" x14ac:dyDescent="0.25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</row>
    <row r="775" spans="1:24" ht="12.75" customHeight="1" x14ac:dyDescent="0.25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</row>
    <row r="776" spans="1:24" ht="12.75" customHeight="1" x14ac:dyDescent="0.25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</row>
    <row r="777" spans="1:24" ht="12.75" customHeight="1" x14ac:dyDescent="0.25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</row>
    <row r="778" spans="1:24" ht="12.75" customHeight="1" x14ac:dyDescent="0.25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</row>
    <row r="779" spans="1:24" ht="12.75" customHeight="1" x14ac:dyDescent="0.25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</row>
    <row r="780" spans="1:24" ht="12.75" customHeight="1" x14ac:dyDescent="0.25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</row>
    <row r="781" spans="1:24" ht="12.75" customHeight="1" x14ac:dyDescent="0.25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</row>
    <row r="782" spans="1:24" ht="12.75" customHeight="1" x14ac:dyDescent="0.25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</row>
    <row r="783" spans="1:24" ht="12.75" customHeight="1" x14ac:dyDescent="0.25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</row>
    <row r="784" spans="1:24" ht="12.75" customHeight="1" x14ac:dyDescent="0.25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</row>
    <row r="785" spans="1:24" ht="12.75" customHeight="1" x14ac:dyDescent="0.25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</row>
    <row r="786" spans="1:24" ht="12.75" customHeight="1" x14ac:dyDescent="0.25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</row>
    <row r="787" spans="1:24" ht="12.75" customHeight="1" x14ac:dyDescent="0.25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</row>
    <row r="788" spans="1:24" ht="12.75" customHeight="1" x14ac:dyDescent="0.25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</row>
    <row r="789" spans="1:24" ht="12.75" customHeight="1" x14ac:dyDescent="0.25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</row>
    <row r="790" spans="1:24" ht="12.75" customHeight="1" x14ac:dyDescent="0.25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</row>
    <row r="791" spans="1:24" ht="12.75" customHeight="1" x14ac:dyDescent="0.25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</row>
    <row r="792" spans="1:24" ht="12.75" customHeight="1" x14ac:dyDescent="0.25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</row>
    <row r="793" spans="1:24" ht="12.75" customHeight="1" x14ac:dyDescent="0.25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</row>
    <row r="794" spans="1:24" ht="12.75" customHeight="1" x14ac:dyDescent="0.25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</row>
    <row r="795" spans="1:24" ht="12.75" customHeight="1" x14ac:dyDescent="0.25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</row>
    <row r="796" spans="1:24" ht="12.75" customHeight="1" x14ac:dyDescent="0.25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</row>
    <row r="797" spans="1:24" ht="12.75" customHeight="1" x14ac:dyDescent="0.25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</row>
    <row r="798" spans="1:24" ht="12.75" customHeight="1" x14ac:dyDescent="0.25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</row>
    <row r="799" spans="1:24" ht="12.75" customHeight="1" x14ac:dyDescent="0.25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</row>
    <row r="800" spans="1:24" ht="12.75" customHeight="1" x14ac:dyDescent="0.25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</row>
    <row r="801" spans="1:24" ht="12.75" customHeight="1" x14ac:dyDescent="0.25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</row>
    <row r="802" spans="1:24" ht="12.75" customHeight="1" x14ac:dyDescent="0.25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</row>
    <row r="803" spans="1:24" ht="12.75" customHeight="1" x14ac:dyDescent="0.25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</row>
    <row r="804" spans="1:24" ht="12.75" customHeight="1" x14ac:dyDescent="0.25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</row>
    <row r="805" spans="1:24" ht="12.75" customHeight="1" x14ac:dyDescent="0.25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</row>
    <row r="806" spans="1:24" ht="12.75" customHeight="1" x14ac:dyDescent="0.25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</row>
    <row r="807" spans="1:24" ht="12.75" customHeight="1" x14ac:dyDescent="0.25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</row>
    <row r="808" spans="1:24" ht="12.75" customHeight="1" x14ac:dyDescent="0.25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</row>
    <row r="809" spans="1:24" ht="12.75" customHeight="1" x14ac:dyDescent="0.25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</row>
    <row r="810" spans="1:24" ht="12.75" customHeight="1" x14ac:dyDescent="0.25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</row>
    <row r="811" spans="1:24" ht="12.75" customHeight="1" x14ac:dyDescent="0.25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</row>
    <row r="812" spans="1:24" ht="12.75" customHeight="1" x14ac:dyDescent="0.25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</row>
    <row r="813" spans="1:24" ht="12.75" customHeight="1" x14ac:dyDescent="0.25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</row>
    <row r="814" spans="1:24" ht="12.75" customHeight="1" x14ac:dyDescent="0.25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</row>
    <row r="815" spans="1:24" ht="12.75" customHeight="1" x14ac:dyDescent="0.25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</row>
    <row r="816" spans="1:24" ht="12.75" customHeight="1" x14ac:dyDescent="0.25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</row>
    <row r="817" spans="1:24" ht="12.75" customHeight="1" x14ac:dyDescent="0.25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</row>
    <row r="818" spans="1:24" ht="12.75" customHeight="1" x14ac:dyDescent="0.25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</row>
    <row r="819" spans="1:24" ht="12.75" customHeight="1" x14ac:dyDescent="0.25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</row>
    <row r="820" spans="1:24" ht="12.75" customHeight="1" x14ac:dyDescent="0.25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</row>
    <row r="821" spans="1:24" ht="12.75" customHeight="1" x14ac:dyDescent="0.25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</row>
    <row r="822" spans="1:24" ht="12.75" customHeight="1" x14ac:dyDescent="0.25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</row>
    <row r="823" spans="1:24" ht="12.75" customHeight="1" x14ac:dyDescent="0.25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</row>
    <row r="824" spans="1:24" ht="12.75" customHeight="1" x14ac:dyDescent="0.25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</row>
    <row r="825" spans="1:24" ht="12.75" customHeight="1" x14ac:dyDescent="0.25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</row>
    <row r="826" spans="1:24" ht="12.75" customHeight="1" x14ac:dyDescent="0.25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</row>
    <row r="827" spans="1:24" ht="12.75" customHeight="1" x14ac:dyDescent="0.25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</row>
    <row r="828" spans="1:24" ht="12.75" customHeight="1" x14ac:dyDescent="0.25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</row>
    <row r="829" spans="1:24" ht="12.75" customHeight="1" x14ac:dyDescent="0.25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</row>
    <row r="830" spans="1:24" ht="12.75" customHeight="1" x14ac:dyDescent="0.25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</row>
    <row r="831" spans="1:24" ht="12.75" customHeight="1" x14ac:dyDescent="0.25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</row>
    <row r="832" spans="1:24" ht="12.75" customHeight="1" x14ac:dyDescent="0.25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</row>
    <row r="833" spans="1:24" ht="12.75" customHeight="1" x14ac:dyDescent="0.25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</row>
    <row r="834" spans="1:24" ht="12.75" customHeight="1" x14ac:dyDescent="0.25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</row>
    <row r="835" spans="1:24" ht="12.75" customHeight="1" x14ac:dyDescent="0.25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</row>
    <row r="836" spans="1:24" ht="12.75" customHeight="1" x14ac:dyDescent="0.25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</row>
    <row r="837" spans="1:24" ht="12.75" customHeight="1" x14ac:dyDescent="0.25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</row>
    <row r="838" spans="1:24" ht="12.75" customHeight="1" x14ac:dyDescent="0.25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</row>
    <row r="839" spans="1:24" ht="12.75" customHeight="1" x14ac:dyDescent="0.25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</row>
    <row r="840" spans="1:24" ht="12.75" customHeight="1" x14ac:dyDescent="0.25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</row>
    <row r="841" spans="1:24" ht="12.75" customHeight="1" x14ac:dyDescent="0.25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</row>
    <row r="842" spans="1:24" ht="12.75" customHeight="1" x14ac:dyDescent="0.25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</row>
    <row r="843" spans="1:24" ht="12.75" customHeight="1" x14ac:dyDescent="0.25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</row>
    <row r="844" spans="1:24" ht="12.75" customHeight="1" x14ac:dyDescent="0.25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</row>
    <row r="845" spans="1:24" ht="12.75" customHeight="1" x14ac:dyDescent="0.25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</row>
    <row r="846" spans="1:24" ht="12.75" customHeight="1" x14ac:dyDescent="0.25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</row>
    <row r="847" spans="1:24" ht="12.75" customHeight="1" x14ac:dyDescent="0.25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</row>
    <row r="848" spans="1:24" ht="12.75" customHeight="1" x14ac:dyDescent="0.25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</row>
    <row r="849" spans="1:24" ht="12.75" customHeight="1" x14ac:dyDescent="0.25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</row>
    <row r="850" spans="1:24" ht="12.75" customHeight="1" x14ac:dyDescent="0.25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</row>
    <row r="851" spans="1:24" ht="12.75" customHeight="1" x14ac:dyDescent="0.25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</row>
    <row r="852" spans="1:24" ht="12.75" customHeight="1" x14ac:dyDescent="0.25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</row>
    <row r="853" spans="1:24" ht="12.75" customHeight="1" x14ac:dyDescent="0.25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</row>
    <row r="854" spans="1:24" ht="12.75" customHeight="1" x14ac:dyDescent="0.25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</row>
    <row r="855" spans="1:24" ht="12.75" customHeight="1" x14ac:dyDescent="0.25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</row>
    <row r="856" spans="1:24" ht="12.75" customHeight="1" x14ac:dyDescent="0.25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</row>
    <row r="857" spans="1:24" ht="12.75" customHeight="1" x14ac:dyDescent="0.25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</row>
    <row r="858" spans="1:24" ht="12.75" customHeight="1" x14ac:dyDescent="0.25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</row>
    <row r="859" spans="1:24" ht="12.75" customHeight="1" x14ac:dyDescent="0.25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</row>
    <row r="860" spans="1:24" ht="12.75" customHeight="1" x14ac:dyDescent="0.25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</row>
    <row r="861" spans="1:24" ht="12.75" customHeight="1" x14ac:dyDescent="0.25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</row>
    <row r="862" spans="1:24" ht="12.75" customHeight="1" x14ac:dyDescent="0.25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</row>
    <row r="863" spans="1:24" ht="12.75" customHeight="1" x14ac:dyDescent="0.25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</row>
    <row r="864" spans="1:24" ht="12.75" customHeight="1" x14ac:dyDescent="0.25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</row>
    <row r="865" spans="1:24" ht="12.75" customHeight="1" x14ac:dyDescent="0.25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</row>
    <row r="866" spans="1:24" ht="12.75" customHeight="1" x14ac:dyDescent="0.25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</row>
    <row r="867" spans="1:24" ht="12.75" customHeight="1" x14ac:dyDescent="0.25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</row>
    <row r="868" spans="1:24" ht="12.75" customHeight="1" x14ac:dyDescent="0.25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</row>
    <row r="869" spans="1:24" ht="12.75" customHeight="1" x14ac:dyDescent="0.25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</row>
    <row r="870" spans="1:24" ht="12.75" customHeight="1" x14ac:dyDescent="0.25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</row>
    <row r="871" spans="1:24" ht="12.75" customHeight="1" x14ac:dyDescent="0.25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</row>
    <row r="872" spans="1:24" ht="12.75" customHeight="1" x14ac:dyDescent="0.25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</row>
    <row r="873" spans="1:24" ht="12.75" customHeight="1" x14ac:dyDescent="0.25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</row>
    <row r="874" spans="1:24" ht="12.75" customHeight="1" x14ac:dyDescent="0.25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</row>
    <row r="875" spans="1:24" ht="12.75" customHeight="1" x14ac:dyDescent="0.25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</row>
    <row r="876" spans="1:24" ht="12.75" customHeight="1" x14ac:dyDescent="0.25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</row>
    <row r="877" spans="1:24" ht="12.75" customHeight="1" x14ac:dyDescent="0.25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</row>
    <row r="878" spans="1:24" ht="12.75" customHeight="1" x14ac:dyDescent="0.25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</row>
    <row r="879" spans="1:24" ht="12.75" customHeight="1" x14ac:dyDescent="0.25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</row>
    <row r="880" spans="1:24" ht="12.75" customHeight="1" x14ac:dyDescent="0.25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</row>
    <row r="881" spans="1:24" ht="12.75" customHeight="1" x14ac:dyDescent="0.25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</row>
    <row r="882" spans="1:24" ht="12.75" customHeight="1" x14ac:dyDescent="0.25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</row>
    <row r="883" spans="1:24" ht="12.75" customHeight="1" x14ac:dyDescent="0.25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</row>
    <row r="884" spans="1:24" ht="12.75" customHeight="1" x14ac:dyDescent="0.25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</row>
    <row r="885" spans="1:24" ht="12.75" customHeight="1" x14ac:dyDescent="0.25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</row>
    <row r="886" spans="1:24" ht="12.75" customHeight="1" x14ac:dyDescent="0.25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</row>
    <row r="887" spans="1:24" ht="12.75" customHeight="1" x14ac:dyDescent="0.25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</row>
    <row r="888" spans="1:24" ht="12.75" customHeight="1" x14ac:dyDescent="0.25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</row>
    <row r="889" spans="1:24" ht="12.75" customHeight="1" x14ac:dyDescent="0.25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</row>
    <row r="890" spans="1:24" ht="12.75" customHeight="1" x14ac:dyDescent="0.25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</row>
    <row r="891" spans="1:24" ht="12.75" customHeight="1" x14ac:dyDescent="0.25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</row>
    <row r="892" spans="1:24" ht="12.75" customHeight="1" x14ac:dyDescent="0.25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</row>
    <row r="893" spans="1:24" ht="12.75" customHeight="1" x14ac:dyDescent="0.25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</row>
    <row r="894" spans="1:24" ht="12.75" customHeight="1" x14ac:dyDescent="0.25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</row>
    <row r="895" spans="1:24" ht="12.75" customHeight="1" x14ac:dyDescent="0.25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</row>
    <row r="896" spans="1:24" ht="12.75" customHeight="1" x14ac:dyDescent="0.25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</row>
    <row r="897" spans="1:24" ht="12.75" customHeight="1" x14ac:dyDescent="0.25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</row>
    <row r="898" spans="1:24" ht="12.75" customHeight="1" x14ac:dyDescent="0.25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</row>
    <row r="899" spans="1:24" ht="12.75" customHeight="1" x14ac:dyDescent="0.25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</row>
    <row r="900" spans="1:24" ht="12.75" customHeight="1" x14ac:dyDescent="0.25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</row>
    <row r="901" spans="1:24" ht="12.75" customHeight="1" x14ac:dyDescent="0.25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</row>
    <row r="902" spans="1:24" ht="12.75" customHeight="1" x14ac:dyDescent="0.25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</row>
    <row r="903" spans="1:24" ht="12.75" customHeight="1" x14ac:dyDescent="0.25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</row>
    <row r="904" spans="1:24" ht="12.75" customHeight="1" x14ac:dyDescent="0.25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</row>
    <row r="905" spans="1:24" ht="12.75" customHeight="1" x14ac:dyDescent="0.25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</row>
    <row r="906" spans="1:24" ht="12.75" customHeight="1" x14ac:dyDescent="0.25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</row>
    <row r="907" spans="1:24" ht="12.75" customHeight="1" x14ac:dyDescent="0.25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</row>
    <row r="908" spans="1:24" ht="12.75" customHeight="1" x14ac:dyDescent="0.25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</row>
    <row r="909" spans="1:24" ht="12.75" customHeight="1" x14ac:dyDescent="0.25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</row>
    <row r="910" spans="1:24" ht="12.75" customHeight="1" x14ac:dyDescent="0.25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</row>
    <row r="911" spans="1:24" ht="12.75" customHeight="1" x14ac:dyDescent="0.25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</row>
    <row r="912" spans="1:24" ht="12.75" customHeight="1" x14ac:dyDescent="0.25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</row>
    <row r="913" spans="1:24" ht="12.75" customHeight="1" x14ac:dyDescent="0.25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</row>
    <row r="914" spans="1:24" ht="12.75" customHeight="1" x14ac:dyDescent="0.25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</row>
    <row r="915" spans="1:24" ht="12.75" customHeight="1" x14ac:dyDescent="0.25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</row>
    <row r="916" spans="1:24" ht="12.75" customHeight="1" x14ac:dyDescent="0.25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</row>
    <row r="917" spans="1:24" ht="12.75" customHeight="1" x14ac:dyDescent="0.25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</row>
    <row r="918" spans="1:24" ht="12.75" customHeight="1" x14ac:dyDescent="0.25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</row>
    <row r="919" spans="1:24" ht="12.75" customHeight="1" x14ac:dyDescent="0.25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</row>
    <row r="920" spans="1:24" ht="12.75" customHeight="1" x14ac:dyDescent="0.25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</row>
    <row r="921" spans="1:24" ht="12.75" customHeight="1" x14ac:dyDescent="0.25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</row>
    <row r="922" spans="1:24" ht="12.75" customHeight="1" x14ac:dyDescent="0.25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</row>
    <row r="923" spans="1:24" ht="12.75" customHeight="1" x14ac:dyDescent="0.25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</row>
    <row r="924" spans="1:24" ht="12.75" customHeight="1" x14ac:dyDescent="0.25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</row>
    <row r="925" spans="1:24" ht="12.75" customHeight="1" x14ac:dyDescent="0.25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</row>
    <row r="926" spans="1:24" ht="12.75" customHeight="1" x14ac:dyDescent="0.25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</row>
    <row r="927" spans="1:24" ht="12.75" customHeight="1" x14ac:dyDescent="0.25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</row>
    <row r="928" spans="1:24" ht="12.75" customHeight="1" x14ac:dyDescent="0.25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</row>
    <row r="929" spans="1:24" ht="12.75" customHeight="1" x14ac:dyDescent="0.25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</row>
    <row r="930" spans="1:24" ht="12.75" customHeight="1" x14ac:dyDescent="0.25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</row>
    <row r="931" spans="1:24" ht="12.75" customHeight="1" x14ac:dyDescent="0.25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</row>
    <row r="932" spans="1:24" ht="12.75" customHeight="1" x14ac:dyDescent="0.25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</row>
    <row r="933" spans="1:24" ht="12.75" customHeight="1" x14ac:dyDescent="0.25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</row>
    <row r="934" spans="1:24" ht="12.75" customHeight="1" x14ac:dyDescent="0.25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</row>
    <row r="935" spans="1:24" ht="12.75" customHeight="1" x14ac:dyDescent="0.25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</row>
    <row r="936" spans="1:24" ht="12.75" customHeight="1" x14ac:dyDescent="0.25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</row>
    <row r="937" spans="1:24" ht="12.75" customHeight="1" x14ac:dyDescent="0.25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</row>
    <row r="938" spans="1:24" ht="12.75" customHeight="1" x14ac:dyDescent="0.25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</row>
    <row r="939" spans="1:24" ht="12.75" customHeight="1" x14ac:dyDescent="0.25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</row>
    <row r="940" spans="1:24" ht="12.75" customHeight="1" x14ac:dyDescent="0.25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</row>
    <row r="941" spans="1:24" ht="12.75" customHeight="1" x14ac:dyDescent="0.25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</row>
    <row r="942" spans="1:24" ht="12.75" customHeight="1" x14ac:dyDescent="0.25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</row>
    <row r="943" spans="1:24" ht="12.75" customHeight="1" x14ac:dyDescent="0.25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</row>
    <row r="944" spans="1:24" ht="12.75" customHeight="1" x14ac:dyDescent="0.25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</row>
    <row r="945" spans="1:24" ht="12.75" customHeight="1" x14ac:dyDescent="0.25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</row>
    <row r="946" spans="1:24" ht="12.75" customHeight="1" x14ac:dyDescent="0.25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78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</row>
    <row r="947" spans="1:24" ht="12.75" customHeight="1" x14ac:dyDescent="0.25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78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</row>
    <row r="948" spans="1:24" ht="12.75" customHeight="1" x14ac:dyDescent="0.25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</row>
    <row r="949" spans="1:24" ht="12.75" customHeight="1" x14ac:dyDescent="0.25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</row>
    <row r="950" spans="1:24" ht="12.75" customHeight="1" x14ac:dyDescent="0.25">
      <c r="A950" s="78"/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</row>
    <row r="951" spans="1:24" ht="12.75" customHeight="1" x14ac:dyDescent="0.25">
      <c r="A951" s="78"/>
      <c r="B951" s="78"/>
      <c r="C951" s="78"/>
      <c r="D951" s="78"/>
      <c r="E951" s="78"/>
      <c r="F951" s="78"/>
      <c r="G951" s="78"/>
      <c r="H951" s="78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</row>
    <row r="952" spans="1:24" ht="12.75" customHeight="1" x14ac:dyDescent="0.25">
      <c r="A952" s="78"/>
      <c r="B952" s="78"/>
      <c r="C952" s="78"/>
      <c r="D952" s="78"/>
      <c r="E952" s="78"/>
      <c r="F952" s="78"/>
      <c r="G952" s="78"/>
      <c r="H952" s="78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</row>
    <row r="953" spans="1:24" ht="12.75" customHeight="1" x14ac:dyDescent="0.25">
      <c r="A953" s="78"/>
      <c r="B953" s="78"/>
      <c r="C953" s="78"/>
      <c r="D953" s="78"/>
      <c r="E953" s="78"/>
      <c r="F953" s="78"/>
      <c r="G953" s="78"/>
      <c r="H953" s="78"/>
      <c r="I953" s="78"/>
      <c r="J953" s="78"/>
      <c r="K953" s="78"/>
      <c r="L953" s="78"/>
      <c r="M953" s="78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</row>
    <row r="954" spans="1:24" ht="12.75" customHeight="1" x14ac:dyDescent="0.25">
      <c r="A954" s="78"/>
      <c r="B954" s="78"/>
      <c r="C954" s="78"/>
      <c r="D954" s="78"/>
      <c r="E954" s="78"/>
      <c r="F954" s="78"/>
      <c r="G954" s="78"/>
      <c r="H954" s="78"/>
      <c r="I954" s="78"/>
      <c r="J954" s="78"/>
      <c r="K954" s="78"/>
      <c r="L954" s="78"/>
      <c r="M954" s="78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</row>
    <row r="955" spans="1:24" ht="12.75" customHeight="1" x14ac:dyDescent="0.25">
      <c r="A955" s="78"/>
      <c r="B955" s="78"/>
      <c r="C955" s="78"/>
      <c r="D955" s="78"/>
      <c r="E955" s="78"/>
      <c r="F955" s="78"/>
      <c r="G955" s="78"/>
      <c r="H955" s="78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</row>
    <row r="956" spans="1:24" ht="12.75" customHeight="1" x14ac:dyDescent="0.25">
      <c r="A956" s="78"/>
      <c r="B956" s="78"/>
      <c r="C956" s="78"/>
      <c r="D956" s="78"/>
      <c r="E956" s="78"/>
      <c r="F956" s="78"/>
      <c r="G956" s="78"/>
      <c r="H956" s="78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</row>
    <row r="957" spans="1:24" ht="12.75" customHeight="1" x14ac:dyDescent="0.25">
      <c r="A957" s="78"/>
      <c r="B957" s="78"/>
      <c r="C957" s="78"/>
      <c r="D957" s="78"/>
      <c r="E957" s="78"/>
      <c r="F957" s="78"/>
      <c r="G957" s="78"/>
      <c r="H957" s="78"/>
      <c r="I957" s="78"/>
      <c r="J957" s="78"/>
      <c r="K957" s="78"/>
      <c r="L957" s="78"/>
      <c r="M957" s="78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</row>
    <row r="958" spans="1:24" ht="12.75" customHeight="1" x14ac:dyDescent="0.25">
      <c r="A958" s="78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</row>
    <row r="959" spans="1:24" ht="12.75" customHeight="1" x14ac:dyDescent="0.25">
      <c r="A959" s="78"/>
      <c r="B959" s="78"/>
      <c r="C959" s="78"/>
      <c r="D959" s="78"/>
      <c r="E959" s="78"/>
      <c r="F959" s="78"/>
      <c r="G959" s="78"/>
      <c r="H959" s="78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</row>
    <row r="960" spans="1:24" ht="12.75" customHeight="1" x14ac:dyDescent="0.25">
      <c r="A960" s="78"/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</row>
    <row r="961" spans="1:24" ht="12.75" customHeight="1" x14ac:dyDescent="0.25">
      <c r="A961" s="78"/>
      <c r="B961" s="78"/>
      <c r="C961" s="78"/>
      <c r="D961" s="78"/>
      <c r="E961" s="78"/>
      <c r="F961" s="78"/>
      <c r="G961" s="78"/>
      <c r="H961" s="78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</row>
    <row r="962" spans="1:24" ht="12.75" customHeight="1" x14ac:dyDescent="0.25">
      <c r="A962" s="78"/>
      <c r="B962" s="78"/>
      <c r="C962" s="78"/>
      <c r="D962" s="78"/>
      <c r="E962" s="78"/>
      <c r="F962" s="78"/>
      <c r="G962" s="78"/>
      <c r="H962" s="78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</row>
    <row r="963" spans="1:24" ht="12.75" customHeight="1" x14ac:dyDescent="0.25">
      <c r="A963" s="78"/>
      <c r="B963" s="78"/>
      <c r="C963" s="78"/>
      <c r="D963" s="78"/>
      <c r="E963" s="78"/>
      <c r="F963" s="78"/>
      <c r="G963" s="78"/>
      <c r="H963" s="78"/>
      <c r="I963" s="78"/>
      <c r="J963" s="78"/>
      <c r="K963" s="78"/>
      <c r="L963" s="78"/>
      <c r="M963" s="78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</row>
    <row r="964" spans="1:24" ht="12.75" customHeight="1" x14ac:dyDescent="0.25">
      <c r="A964" s="78"/>
      <c r="B964" s="78"/>
      <c r="C964" s="78"/>
      <c r="D964" s="78"/>
      <c r="E964" s="78"/>
      <c r="F964" s="78"/>
      <c r="G964" s="78"/>
      <c r="H964" s="78"/>
      <c r="I964" s="78"/>
      <c r="J964" s="78"/>
      <c r="K964" s="78"/>
      <c r="L964" s="78"/>
      <c r="M964" s="78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</row>
    <row r="965" spans="1:24" ht="12.75" customHeight="1" x14ac:dyDescent="0.25">
      <c r="A965" s="78"/>
      <c r="B965" s="78"/>
      <c r="C965" s="78"/>
      <c r="D965" s="78"/>
      <c r="E965" s="78"/>
      <c r="F965" s="78"/>
      <c r="G965" s="78"/>
      <c r="H965" s="78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</row>
    <row r="966" spans="1:24" ht="12.75" customHeight="1" x14ac:dyDescent="0.25">
      <c r="A966" s="78"/>
      <c r="B966" s="78"/>
      <c r="C966" s="78"/>
      <c r="D966" s="78"/>
      <c r="E966" s="78"/>
      <c r="F966" s="78"/>
      <c r="G966" s="78"/>
      <c r="H966" s="78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</row>
    <row r="967" spans="1:24" ht="12.75" customHeight="1" x14ac:dyDescent="0.25">
      <c r="A967" s="78"/>
      <c r="B967" s="78"/>
      <c r="C967" s="78"/>
      <c r="D967" s="78"/>
      <c r="E967" s="78"/>
      <c r="F967" s="78"/>
      <c r="G967" s="78"/>
      <c r="H967" s="78"/>
      <c r="I967" s="78"/>
      <c r="J967" s="78"/>
      <c r="K967" s="78"/>
      <c r="L967" s="78"/>
      <c r="M967" s="78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</row>
    <row r="968" spans="1:24" ht="12.75" customHeight="1" x14ac:dyDescent="0.25">
      <c r="A968" s="78"/>
      <c r="B968" s="78"/>
      <c r="C968" s="78"/>
      <c r="D968" s="78"/>
      <c r="E968" s="78"/>
      <c r="F968" s="78"/>
      <c r="G968" s="78"/>
      <c r="H968" s="78"/>
      <c r="I968" s="78"/>
      <c r="J968" s="78"/>
      <c r="K968" s="78"/>
      <c r="L968" s="78"/>
      <c r="M968" s="78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</row>
    <row r="969" spans="1:24" ht="12.75" customHeight="1" x14ac:dyDescent="0.25">
      <c r="A969" s="78"/>
      <c r="B969" s="78"/>
      <c r="C969" s="78"/>
      <c r="D969" s="78"/>
      <c r="E969" s="78"/>
      <c r="F969" s="78"/>
      <c r="G969" s="78"/>
      <c r="H969" s="78"/>
      <c r="I969" s="78"/>
      <c r="J969" s="78"/>
      <c r="K969" s="78"/>
      <c r="L969" s="78"/>
      <c r="M969" s="78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</row>
    <row r="970" spans="1:24" ht="12.75" customHeight="1" x14ac:dyDescent="0.25">
      <c r="A970" s="78"/>
      <c r="B970" s="78"/>
      <c r="C970" s="78"/>
      <c r="D970" s="78"/>
      <c r="E970" s="78"/>
      <c r="F970" s="78"/>
      <c r="G970" s="78"/>
      <c r="H970" s="78"/>
      <c r="I970" s="78"/>
      <c r="J970" s="78"/>
      <c r="K970" s="78"/>
      <c r="L970" s="78"/>
      <c r="M970" s="78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</row>
    <row r="971" spans="1:24" ht="12.75" customHeight="1" x14ac:dyDescent="0.25">
      <c r="A971" s="78"/>
      <c r="B971" s="78"/>
      <c r="C971" s="78"/>
      <c r="D971" s="78"/>
      <c r="E971" s="78"/>
      <c r="F971" s="78"/>
      <c r="G971" s="78"/>
      <c r="H971" s="78"/>
      <c r="I971" s="78"/>
      <c r="J971" s="78"/>
      <c r="K971" s="78"/>
      <c r="L971" s="78"/>
      <c r="M971" s="78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</row>
    <row r="972" spans="1:24" ht="12.75" customHeight="1" x14ac:dyDescent="0.25">
      <c r="A972" s="78"/>
      <c r="B972" s="78"/>
      <c r="C972" s="78"/>
      <c r="D972" s="78"/>
      <c r="E972" s="78"/>
      <c r="F972" s="78"/>
      <c r="G972" s="78"/>
      <c r="H972" s="78"/>
      <c r="I972" s="78"/>
      <c r="J972" s="78"/>
      <c r="K972" s="78"/>
      <c r="L972" s="78"/>
      <c r="M972" s="78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</row>
    <row r="973" spans="1:24" ht="12.75" customHeight="1" x14ac:dyDescent="0.25">
      <c r="A973" s="78"/>
      <c r="B973" s="78"/>
      <c r="C973" s="78"/>
      <c r="D973" s="78"/>
      <c r="E973" s="78"/>
      <c r="F973" s="78"/>
      <c r="G973" s="78"/>
      <c r="H973" s="78"/>
      <c r="I973" s="78"/>
      <c r="J973" s="78"/>
      <c r="K973" s="78"/>
      <c r="L973" s="78"/>
      <c r="M973" s="78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</row>
    <row r="974" spans="1:24" ht="12.75" customHeight="1" x14ac:dyDescent="0.25">
      <c r="A974" s="78"/>
      <c r="B974" s="78"/>
      <c r="C974" s="78"/>
      <c r="D974" s="78"/>
      <c r="E974" s="78"/>
      <c r="F974" s="78"/>
      <c r="G974" s="78"/>
      <c r="H974" s="78"/>
      <c r="I974" s="78"/>
      <c r="J974" s="78"/>
      <c r="K974" s="78"/>
      <c r="L974" s="78"/>
      <c r="M974" s="78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</row>
    <row r="975" spans="1:24" ht="12.75" customHeight="1" x14ac:dyDescent="0.25">
      <c r="A975" s="78"/>
      <c r="B975" s="78"/>
      <c r="C975" s="78"/>
      <c r="D975" s="78"/>
      <c r="E975" s="78"/>
      <c r="F975" s="78"/>
      <c r="G975" s="78"/>
      <c r="H975" s="78"/>
      <c r="I975" s="78"/>
      <c r="J975" s="78"/>
      <c r="K975" s="78"/>
      <c r="L975" s="78"/>
      <c r="M975" s="78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</row>
    <row r="976" spans="1:24" ht="12.75" customHeight="1" x14ac:dyDescent="0.25">
      <c r="A976" s="78"/>
      <c r="B976" s="78"/>
      <c r="C976" s="78"/>
      <c r="D976" s="78"/>
      <c r="E976" s="78"/>
      <c r="F976" s="78"/>
      <c r="G976" s="78"/>
      <c r="H976" s="78"/>
      <c r="I976" s="78"/>
      <c r="J976" s="78"/>
      <c r="K976" s="78"/>
      <c r="L976" s="78"/>
      <c r="M976" s="78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</row>
    <row r="977" spans="1:24" ht="12.75" customHeight="1" x14ac:dyDescent="0.25">
      <c r="A977" s="78"/>
      <c r="B977" s="78"/>
      <c r="C977" s="78"/>
      <c r="D977" s="78"/>
      <c r="E977" s="78"/>
      <c r="F977" s="78"/>
      <c r="G977" s="78"/>
      <c r="H977" s="78"/>
      <c r="I977" s="78"/>
      <c r="J977" s="78"/>
      <c r="K977" s="78"/>
      <c r="L977" s="78"/>
      <c r="M977" s="78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</row>
    <row r="978" spans="1:24" ht="12.75" customHeight="1" x14ac:dyDescent="0.25">
      <c r="A978" s="78"/>
      <c r="B978" s="78"/>
      <c r="C978" s="78"/>
      <c r="D978" s="78"/>
      <c r="E978" s="78"/>
      <c r="F978" s="78"/>
      <c r="G978" s="78"/>
      <c r="H978" s="78"/>
      <c r="I978" s="78"/>
      <c r="J978" s="78"/>
      <c r="K978" s="78"/>
      <c r="L978" s="78"/>
      <c r="M978" s="78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</row>
    <row r="979" spans="1:24" ht="12.75" customHeight="1" x14ac:dyDescent="0.25">
      <c r="A979" s="78"/>
      <c r="B979" s="78"/>
      <c r="C979" s="78"/>
      <c r="D979" s="78"/>
      <c r="E979" s="78"/>
      <c r="F979" s="78"/>
      <c r="G979" s="78"/>
      <c r="H979" s="78"/>
      <c r="I979" s="78"/>
      <c r="J979" s="78"/>
      <c r="K979" s="78"/>
      <c r="L979" s="78"/>
      <c r="M979" s="78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</row>
    <row r="980" spans="1:24" ht="12.75" customHeight="1" x14ac:dyDescent="0.25">
      <c r="A980" s="78"/>
      <c r="B980" s="78"/>
      <c r="C980" s="78"/>
      <c r="D980" s="78"/>
      <c r="E980" s="78"/>
      <c r="F980" s="78"/>
      <c r="G980" s="78"/>
      <c r="H980" s="78"/>
      <c r="I980" s="78"/>
      <c r="J980" s="78"/>
      <c r="K980" s="78"/>
      <c r="L980" s="78"/>
      <c r="M980" s="78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</row>
    <row r="981" spans="1:24" ht="12.75" customHeight="1" x14ac:dyDescent="0.25">
      <c r="A981" s="78"/>
      <c r="B981" s="78"/>
      <c r="C981" s="78"/>
      <c r="D981" s="78"/>
      <c r="E981" s="78"/>
      <c r="F981" s="78"/>
      <c r="G981" s="78"/>
      <c r="H981" s="78"/>
      <c r="I981" s="78"/>
      <c r="J981" s="78"/>
      <c r="K981" s="78"/>
      <c r="L981" s="78"/>
      <c r="M981" s="78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</row>
    <row r="982" spans="1:24" ht="12.75" customHeight="1" x14ac:dyDescent="0.25">
      <c r="A982" s="78"/>
      <c r="B982" s="78"/>
      <c r="C982" s="78"/>
      <c r="D982" s="78"/>
      <c r="E982" s="78"/>
      <c r="F982" s="78"/>
      <c r="G982" s="78"/>
      <c r="H982" s="78"/>
      <c r="I982" s="78"/>
      <c r="J982" s="78"/>
      <c r="K982" s="78"/>
      <c r="L982" s="78"/>
      <c r="M982" s="78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</row>
    <row r="983" spans="1:24" ht="12.75" customHeight="1" x14ac:dyDescent="0.25">
      <c r="A983" s="78"/>
      <c r="B983" s="78"/>
      <c r="C983" s="78"/>
      <c r="D983" s="78"/>
      <c r="E983" s="78"/>
      <c r="F983" s="78"/>
      <c r="G983" s="78"/>
      <c r="H983" s="78"/>
      <c r="I983" s="78"/>
      <c r="J983" s="78"/>
      <c r="K983" s="78"/>
      <c r="L983" s="78"/>
      <c r="M983" s="78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</row>
    <row r="984" spans="1:24" ht="12.75" customHeight="1" x14ac:dyDescent="0.25">
      <c r="A984" s="78"/>
      <c r="B984" s="78"/>
      <c r="C984" s="78"/>
      <c r="D984" s="78"/>
      <c r="E984" s="78"/>
      <c r="F984" s="78"/>
      <c r="G984" s="78"/>
      <c r="H984" s="78"/>
      <c r="I984" s="78"/>
      <c r="J984" s="78"/>
      <c r="K984" s="78"/>
      <c r="L984" s="78"/>
      <c r="M984" s="78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</row>
    <row r="985" spans="1:24" ht="12.75" customHeight="1" x14ac:dyDescent="0.25">
      <c r="A985" s="78"/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</row>
    <row r="986" spans="1:24" ht="12.75" customHeight="1" x14ac:dyDescent="0.25">
      <c r="A986" s="78"/>
      <c r="B986" s="78"/>
      <c r="C986" s="78"/>
      <c r="D986" s="78"/>
      <c r="E986" s="78"/>
      <c r="F986" s="78"/>
      <c r="G986" s="78"/>
      <c r="H986" s="78"/>
      <c r="I986" s="78"/>
      <c r="J986" s="78"/>
      <c r="K986" s="78"/>
      <c r="L986" s="78"/>
      <c r="M986" s="78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</row>
  </sheetData>
  <mergeCells count="141">
    <mergeCell ref="N14:O14"/>
    <mergeCell ref="B19:B24"/>
    <mergeCell ref="N19:O19"/>
    <mergeCell ref="N20:O20"/>
    <mergeCell ref="N21:O21"/>
    <mergeCell ref="J22:K23"/>
    <mergeCell ref="N22:O22"/>
    <mergeCell ref="N23:O23"/>
    <mergeCell ref="N24:O24"/>
    <mergeCell ref="L19:M19"/>
    <mergeCell ref="D14:E14"/>
    <mergeCell ref="F14:G14"/>
    <mergeCell ref="H14:I14"/>
    <mergeCell ref="J14:K14"/>
    <mergeCell ref="L14:M14"/>
    <mergeCell ref="D20:E20"/>
    <mergeCell ref="D19:E19"/>
    <mergeCell ref="F19:G19"/>
    <mergeCell ref="H19:I19"/>
    <mergeCell ref="J19:K19"/>
    <mergeCell ref="D24:E24"/>
    <mergeCell ref="F24:G24"/>
    <mergeCell ref="H24:I24"/>
    <mergeCell ref="J24:K24"/>
    <mergeCell ref="F7:G7"/>
    <mergeCell ref="H7:I7"/>
    <mergeCell ref="J7:K7"/>
    <mergeCell ref="D8:E8"/>
    <mergeCell ref="F8:G8"/>
    <mergeCell ref="H8:I8"/>
    <mergeCell ref="J8:K8"/>
    <mergeCell ref="N2:O2"/>
    <mergeCell ref="B7:B13"/>
    <mergeCell ref="N7:O7"/>
    <mergeCell ref="N8:O8"/>
    <mergeCell ref="N9:O9"/>
    <mergeCell ref="N10:O10"/>
    <mergeCell ref="N11:O11"/>
    <mergeCell ref="N12:O12"/>
    <mergeCell ref="N13:O13"/>
    <mergeCell ref="D2:E2"/>
    <mergeCell ref="F2:G2"/>
    <mergeCell ref="H2:I2"/>
    <mergeCell ref="J2:K2"/>
    <mergeCell ref="L2:M2"/>
    <mergeCell ref="L7:M7"/>
    <mergeCell ref="D7:E7"/>
    <mergeCell ref="L11:M11"/>
    <mergeCell ref="D12:E12"/>
    <mergeCell ref="F12:G12"/>
    <mergeCell ref="H12:I12"/>
    <mergeCell ref="J12:K12"/>
    <mergeCell ref="L12:M12"/>
    <mergeCell ref="D11:E11"/>
    <mergeCell ref="F11:G11"/>
    <mergeCell ref="H11:I11"/>
    <mergeCell ref="J11:K11"/>
    <mergeCell ref="D10:E10"/>
    <mergeCell ref="F10:G10"/>
    <mergeCell ref="H10:I10"/>
    <mergeCell ref="J10:K10"/>
    <mergeCell ref="L10:M10"/>
    <mergeCell ref="L8:M8"/>
    <mergeCell ref="D9:E9"/>
    <mergeCell ref="F9:G9"/>
    <mergeCell ref="H9:I9"/>
    <mergeCell ref="J9:K9"/>
    <mergeCell ref="L9:M9"/>
    <mergeCell ref="D13:E13"/>
    <mergeCell ref="F13:G13"/>
    <mergeCell ref="H13:I13"/>
    <mergeCell ref="J13:K13"/>
    <mergeCell ref="L13:M13"/>
    <mergeCell ref="L21:M21"/>
    <mergeCell ref="D21:E21"/>
    <mergeCell ref="F21:G21"/>
    <mergeCell ref="H21:I21"/>
    <mergeCell ref="J21:K21"/>
    <mergeCell ref="F20:G20"/>
    <mergeCell ref="H20:I20"/>
    <mergeCell ref="J20:K20"/>
    <mergeCell ref="L20:M20"/>
    <mergeCell ref="L24:M24"/>
    <mergeCell ref="D22:E22"/>
    <mergeCell ref="F22:G22"/>
    <mergeCell ref="H22:I22"/>
    <mergeCell ref="L22:M22"/>
    <mergeCell ref="D23:E23"/>
    <mergeCell ref="F23:G23"/>
    <mergeCell ref="H23:I23"/>
    <mergeCell ref="L23:M23"/>
    <mergeCell ref="F3:G3"/>
    <mergeCell ref="F4:G4"/>
    <mergeCell ref="F5:G5"/>
    <mergeCell ref="F6:G6"/>
    <mergeCell ref="H3:I3"/>
    <mergeCell ref="H4:I4"/>
    <mergeCell ref="H5:I5"/>
    <mergeCell ref="H6:I6"/>
    <mergeCell ref="B3:B6"/>
    <mergeCell ref="D3:E3"/>
    <mergeCell ref="D4:E4"/>
    <mergeCell ref="D5:E5"/>
    <mergeCell ref="D6:E6"/>
    <mergeCell ref="N3:O3"/>
    <mergeCell ref="N4:O4"/>
    <mergeCell ref="N5:O5"/>
    <mergeCell ref="N6:O6"/>
    <mergeCell ref="B15:B18"/>
    <mergeCell ref="D15:E15"/>
    <mergeCell ref="F15:G15"/>
    <mergeCell ref="H15:I15"/>
    <mergeCell ref="J15:K15"/>
    <mergeCell ref="L15:M15"/>
    <mergeCell ref="N15:O15"/>
    <mergeCell ref="D16:E16"/>
    <mergeCell ref="F16:G16"/>
    <mergeCell ref="H16:I16"/>
    <mergeCell ref="J16:K16"/>
    <mergeCell ref="L16:M16"/>
    <mergeCell ref="J3:K3"/>
    <mergeCell ref="J4:K4"/>
    <mergeCell ref="J5:K5"/>
    <mergeCell ref="J6:K6"/>
    <mergeCell ref="L3:M3"/>
    <mergeCell ref="L4:M4"/>
    <mergeCell ref="L5:M5"/>
    <mergeCell ref="L6:M6"/>
    <mergeCell ref="N18:O18"/>
    <mergeCell ref="D18:E18"/>
    <mergeCell ref="F18:G18"/>
    <mergeCell ref="H18:I18"/>
    <mergeCell ref="J18:K18"/>
    <mergeCell ref="L18:M18"/>
    <mergeCell ref="N16:O16"/>
    <mergeCell ref="D17:E17"/>
    <mergeCell ref="F17:G17"/>
    <mergeCell ref="H17:I17"/>
    <mergeCell ref="J17:K17"/>
    <mergeCell ref="L17:M17"/>
    <mergeCell ref="N17:O17"/>
  </mergeCells>
  <hyperlinks>
    <hyperlink ref="D2:E2" location="'день 1 '!A1" display="1 день"/>
    <hyperlink ref="D14:E14" location="'день 1 '!A1" display="1 день"/>
    <hyperlink ref="F2:M2" location="'день 1 '!A1" display="1 день"/>
    <hyperlink ref="N2:O2" location="'день 1 '!A1" display="1 день"/>
    <hyperlink ref="F14:O14" location="'день 1 '!A1" display="1 день"/>
  </hyperlinks>
  <pageMargins left="0.32291666666666669" right="0.7" top="0.29166666666666669" bottom="0.44791666666666669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Z63"/>
  <sheetViews>
    <sheetView topLeftCell="A3" zoomScale="90" zoomScaleNormal="90" zoomScalePageLayoutView="90" workbookViewId="0">
      <selection activeCell="V11" sqref="V11"/>
    </sheetView>
  </sheetViews>
  <sheetFormatPr defaultRowHeight="15" x14ac:dyDescent="0.25"/>
  <cols>
    <col min="1" max="1" width="6.42578125" style="13" customWidth="1"/>
    <col min="2" max="2" width="2.7109375" style="13" customWidth="1"/>
    <col min="3" max="3" width="10.5703125" style="12" customWidth="1"/>
    <col min="4" max="4" width="42.7109375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9.5703125" style="12" customWidth="1"/>
    <col min="15" max="15" width="9" style="12" customWidth="1"/>
    <col min="16" max="16" width="7.28515625" style="12" customWidth="1"/>
    <col min="17" max="20" width="9.140625" style="12"/>
    <col min="21" max="21" width="7.2851562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1" spans="2:26" s="14" customFormat="1" x14ac:dyDescent="0.25"/>
    <row r="2" spans="2:26" s="13" customFormat="1" ht="19.5" x14ac:dyDescent="0.3">
      <c r="C2" s="207" t="s">
        <v>29</v>
      </c>
      <c r="D2" s="207"/>
      <c r="E2" s="207"/>
      <c r="F2" s="207"/>
      <c r="G2" s="207"/>
      <c r="H2" s="59" t="s">
        <v>30</v>
      </c>
      <c r="I2" s="39"/>
      <c r="J2" s="39"/>
      <c r="K2" s="39"/>
      <c r="L2" s="39"/>
      <c r="M2" s="39"/>
    </row>
    <row r="3" spans="2:26" s="13" customFormat="1" ht="17.25" x14ac:dyDescent="0.3">
      <c r="C3" s="37" t="s">
        <v>31</v>
      </c>
      <c r="D3" s="37"/>
      <c r="E3" s="37"/>
      <c r="F3" s="38"/>
      <c r="G3" s="37"/>
      <c r="H3" s="87" t="s">
        <v>187</v>
      </c>
      <c r="I3" s="60"/>
      <c r="J3" s="60"/>
      <c r="K3" s="37"/>
      <c r="L3" s="37"/>
      <c r="M3" s="37"/>
      <c r="N3" s="37"/>
    </row>
    <row r="4" spans="2:26" s="13" customFormat="1" ht="17.25" x14ac:dyDescent="0.3">
      <c r="C4" s="208" t="s">
        <v>32</v>
      </c>
      <c r="D4" s="208"/>
      <c r="E4" s="208"/>
      <c r="F4" s="208"/>
      <c r="G4" s="37"/>
      <c r="H4" s="87" t="s">
        <v>188</v>
      </c>
      <c r="I4" s="60"/>
      <c r="J4" s="60"/>
      <c r="K4" s="37"/>
      <c r="L4" s="37"/>
      <c r="M4" s="37"/>
      <c r="N4" s="37"/>
    </row>
    <row r="5" spans="2:26" s="14" customFormat="1" ht="17.25" x14ac:dyDescent="0.3">
      <c r="C5" s="56"/>
      <c r="D5" s="56"/>
      <c r="E5" s="56"/>
      <c r="F5" s="56"/>
      <c r="G5" s="56"/>
      <c r="H5" s="60"/>
      <c r="I5" s="60"/>
      <c r="J5" s="60"/>
      <c r="K5" s="56"/>
      <c r="L5" s="56"/>
      <c r="M5" s="56"/>
      <c r="N5" s="56"/>
    </row>
    <row r="6" spans="2:26" s="14" customFormat="1" ht="17.25" x14ac:dyDescent="0.3"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2:26" s="14" customFormat="1" ht="17.25" x14ac:dyDescent="0.3"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2:26" s="14" customFormat="1" ht="17.25" x14ac:dyDescent="0.3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2:26" s="13" customFormat="1" x14ac:dyDescent="0.25"/>
    <row r="10" spans="2:26" s="13" customFormat="1" ht="18.75" customHeight="1" x14ac:dyDescent="0.25">
      <c r="B10" s="46"/>
      <c r="C10" s="46"/>
      <c r="D10" s="209" t="s">
        <v>81</v>
      </c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50"/>
      <c r="P10" s="50"/>
      <c r="Q10" s="43"/>
      <c r="R10" s="43"/>
    </row>
    <row r="11" spans="2:26" s="13" customFormat="1" ht="16.5" customHeight="1" x14ac:dyDescent="0.3">
      <c r="B11" s="44"/>
      <c r="C11" s="44"/>
      <c r="D11" s="210" t="s">
        <v>82</v>
      </c>
      <c r="E11" s="210"/>
      <c r="F11" s="210"/>
      <c r="G11" s="210"/>
      <c r="H11" s="210"/>
      <c r="I11" s="210"/>
      <c r="J11" s="210"/>
      <c r="K11" s="210"/>
      <c r="L11" s="210"/>
      <c r="M11" s="210"/>
      <c r="N11" s="54"/>
      <c r="O11" s="50"/>
      <c r="P11" s="50"/>
      <c r="Q11" s="42"/>
      <c r="R11" s="42"/>
    </row>
    <row r="12" spans="2:26" s="13" customFormat="1" ht="17.25" x14ac:dyDescent="0.25">
      <c r="D12" s="211" t="s">
        <v>189</v>
      </c>
      <c r="E12" s="211"/>
      <c r="F12" s="211"/>
      <c r="G12" s="211"/>
      <c r="H12" s="211"/>
      <c r="I12" s="211"/>
      <c r="J12" s="211"/>
      <c r="K12" s="211"/>
      <c r="L12" s="211"/>
      <c r="M12" s="211"/>
      <c r="N12" s="55"/>
      <c r="O12" s="51"/>
      <c r="P12" s="49"/>
    </row>
    <row r="13" spans="2:26" ht="15" customHeight="1" thickBot="1" x14ac:dyDescent="0.3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"/>
      <c r="P13" s="2"/>
      <c r="Q13" s="1"/>
      <c r="R13" s="1"/>
      <c r="S13" s="1"/>
      <c r="T13" s="1"/>
      <c r="U13" s="2"/>
      <c r="V13" s="2"/>
      <c r="W13" s="1"/>
      <c r="X13" s="1"/>
      <c r="Y13" s="1"/>
      <c r="Z13" s="1"/>
    </row>
    <row r="14" spans="2:26" ht="15" customHeight="1" x14ac:dyDescent="0.25">
      <c r="B14" s="212" t="s">
        <v>28</v>
      </c>
      <c r="C14" s="215" t="s">
        <v>0</v>
      </c>
      <c r="D14" s="218" t="s">
        <v>1</v>
      </c>
      <c r="E14" s="221" t="s">
        <v>6</v>
      </c>
      <c r="F14" s="222"/>
      <c r="G14" s="225" t="s">
        <v>7</v>
      </c>
      <c r="H14" s="225"/>
      <c r="I14" s="225"/>
      <c r="J14" s="225"/>
      <c r="K14" s="225"/>
      <c r="L14" s="225"/>
      <c r="M14" s="229" t="s">
        <v>5</v>
      </c>
      <c r="N14" s="230"/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25">
      <c r="B15" s="213"/>
      <c r="C15" s="216"/>
      <c r="D15" s="219"/>
      <c r="E15" s="223"/>
      <c r="F15" s="224"/>
      <c r="G15" s="233" t="s">
        <v>3</v>
      </c>
      <c r="H15" s="233"/>
      <c r="I15" s="231" t="s">
        <v>2</v>
      </c>
      <c r="J15" s="231"/>
      <c r="K15" s="233" t="s">
        <v>4</v>
      </c>
      <c r="L15" s="233"/>
      <c r="M15" s="231"/>
      <c r="N15" s="232"/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ht="27.75" customHeight="1" thickBot="1" x14ac:dyDescent="0.3">
      <c r="B16" s="214"/>
      <c r="C16" s="217"/>
      <c r="D16" s="220"/>
      <c r="E16" s="22" t="s">
        <v>11</v>
      </c>
      <c r="F16" s="23" t="s">
        <v>33</v>
      </c>
      <c r="G16" s="22" t="s">
        <v>11</v>
      </c>
      <c r="H16" s="23" t="s">
        <v>33</v>
      </c>
      <c r="I16" s="22" t="s">
        <v>11</v>
      </c>
      <c r="J16" s="23" t="s">
        <v>33</v>
      </c>
      <c r="K16" s="22" t="s">
        <v>11</v>
      </c>
      <c r="L16" s="23" t="s">
        <v>33</v>
      </c>
      <c r="M16" s="22" t="s">
        <v>11</v>
      </c>
      <c r="N16" s="24" t="s">
        <v>33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s="14" customFormat="1" ht="14.25" customHeight="1" x14ac:dyDescent="0.25">
      <c r="B17" s="201" t="s">
        <v>100</v>
      </c>
      <c r="C17" s="234" t="s">
        <v>98</v>
      </c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6"/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s="14" customFormat="1" ht="14.25" customHeight="1" x14ac:dyDescent="0.25">
      <c r="B18" s="202"/>
      <c r="C18" s="77" t="s">
        <v>164</v>
      </c>
      <c r="D18" s="8" t="s">
        <v>165</v>
      </c>
      <c r="E18" s="53">
        <v>150</v>
      </c>
      <c r="F18" s="108">
        <v>200</v>
      </c>
      <c r="G18" s="18">
        <f>E18*3.63/100</f>
        <v>5.4450000000000003</v>
      </c>
      <c r="H18" s="26">
        <f>F18*3.63/100</f>
        <v>7.26</v>
      </c>
      <c r="I18" s="18">
        <f>E18*3.62/100</f>
        <v>5.43</v>
      </c>
      <c r="J18" s="26">
        <f>F18*3.62/100</f>
        <v>7.24</v>
      </c>
      <c r="K18" s="18">
        <f>E18*17.42/100</f>
        <v>26.130000000000006</v>
      </c>
      <c r="L18" s="26">
        <f>F18*17.42/100</f>
        <v>34.840000000000003</v>
      </c>
      <c r="M18" s="18">
        <f t="shared" ref="M18:N21" si="0">G18*4+I18*9+K18*4</f>
        <v>175.17000000000002</v>
      </c>
      <c r="N18" s="28">
        <f t="shared" si="0"/>
        <v>233.56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s="14" customFormat="1" ht="14.25" customHeight="1" x14ac:dyDescent="0.25">
      <c r="B19" s="202"/>
      <c r="C19" s="17" t="s">
        <v>51</v>
      </c>
      <c r="D19" s="6" t="s">
        <v>52</v>
      </c>
      <c r="E19" s="47">
        <v>40</v>
      </c>
      <c r="F19" s="48">
        <v>40</v>
      </c>
      <c r="G19" s="18">
        <f>E19*7.6/100</f>
        <v>3.04</v>
      </c>
      <c r="H19" s="26">
        <f>F19*7.6/100</f>
        <v>3.04</v>
      </c>
      <c r="I19" s="18">
        <f>E19*0.8/100</f>
        <v>0.32</v>
      </c>
      <c r="J19" s="26">
        <f>F19*0.8/100</f>
        <v>0.32</v>
      </c>
      <c r="K19" s="18">
        <f>E19*49.2/100</f>
        <v>19.68</v>
      </c>
      <c r="L19" s="26">
        <f>F19*49.2/100</f>
        <v>19.68</v>
      </c>
      <c r="M19" s="18">
        <f t="shared" si="0"/>
        <v>93.759999999999991</v>
      </c>
      <c r="N19" s="28">
        <f t="shared" si="0"/>
        <v>93.759999999999991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s="14" customFormat="1" ht="14.25" customHeight="1" x14ac:dyDescent="0.25">
      <c r="B20" s="202"/>
      <c r="C20" s="93" t="s">
        <v>140</v>
      </c>
      <c r="D20" s="94" t="s">
        <v>141</v>
      </c>
      <c r="E20" s="53">
        <v>10</v>
      </c>
      <c r="F20" s="95">
        <v>10</v>
      </c>
      <c r="G20" s="18">
        <f>E20*0.8/100</f>
        <v>0.08</v>
      </c>
      <c r="H20" s="26">
        <f>F20*0.8/100</f>
        <v>0.08</v>
      </c>
      <c r="I20" s="18">
        <f>E20*72.5/100</f>
        <v>7.25</v>
      </c>
      <c r="J20" s="26">
        <f>F20*72.5/100</f>
        <v>7.25</v>
      </c>
      <c r="K20" s="18">
        <f>E20*1.3/100</f>
        <v>0.13</v>
      </c>
      <c r="L20" s="26">
        <f>F20*1.3/100</f>
        <v>0.13</v>
      </c>
      <c r="M20" s="18">
        <f t="shared" si="0"/>
        <v>66.089999999999989</v>
      </c>
      <c r="N20" s="28">
        <f t="shared" si="0"/>
        <v>66.089999999999989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s="14" customFormat="1" ht="14.25" customHeight="1" x14ac:dyDescent="0.25">
      <c r="B21" s="202"/>
      <c r="C21" s="77" t="s">
        <v>34</v>
      </c>
      <c r="D21" s="9" t="s">
        <v>94</v>
      </c>
      <c r="E21" s="53">
        <v>200</v>
      </c>
      <c r="F21" s="25">
        <v>200</v>
      </c>
      <c r="G21" s="18">
        <f>E21*0.2/200</f>
        <v>0.2</v>
      </c>
      <c r="H21" s="26">
        <f>F21*0.2/200</f>
        <v>0.2</v>
      </c>
      <c r="I21" s="18">
        <f t="shared" ref="I21:J21" si="1">E21*0.1/200</f>
        <v>0.1</v>
      </c>
      <c r="J21" s="26">
        <f t="shared" si="1"/>
        <v>0.1</v>
      </c>
      <c r="K21" s="18">
        <f>E21*9.3/200</f>
        <v>9.3000000000000007</v>
      </c>
      <c r="L21" s="26">
        <f>F21*9.3/200</f>
        <v>9.3000000000000007</v>
      </c>
      <c r="M21" s="18">
        <f t="shared" si="0"/>
        <v>38.900000000000006</v>
      </c>
      <c r="N21" s="28">
        <f t="shared" si="0"/>
        <v>38.900000000000006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s="14" customFormat="1" ht="14.25" customHeight="1" x14ac:dyDescent="0.25">
      <c r="B22" s="202"/>
      <c r="C22" s="77"/>
      <c r="D22" s="63" t="s">
        <v>99</v>
      </c>
      <c r="E22" s="20">
        <f t="shared" ref="E22:N22" si="2">SUM(E18:E21)</f>
        <v>400</v>
      </c>
      <c r="F22" s="31">
        <f t="shared" si="2"/>
        <v>450</v>
      </c>
      <c r="G22" s="7">
        <f t="shared" si="2"/>
        <v>8.7649999999999988</v>
      </c>
      <c r="H22" s="27">
        <f t="shared" si="2"/>
        <v>10.58</v>
      </c>
      <c r="I22" s="7">
        <f t="shared" si="2"/>
        <v>13.1</v>
      </c>
      <c r="J22" s="27">
        <f t="shared" si="2"/>
        <v>14.91</v>
      </c>
      <c r="K22" s="7">
        <f t="shared" si="2"/>
        <v>55.240000000000009</v>
      </c>
      <c r="L22" s="27">
        <f t="shared" si="2"/>
        <v>63.95</v>
      </c>
      <c r="M22" s="7">
        <f t="shared" si="2"/>
        <v>373.91999999999996</v>
      </c>
      <c r="N22" s="29">
        <f t="shared" si="2"/>
        <v>432.30999999999995</v>
      </c>
      <c r="O22" s="1"/>
      <c r="P22" s="3"/>
      <c r="Q22" s="5"/>
      <c r="R22" s="5"/>
      <c r="S22" s="5"/>
      <c r="T22" s="5"/>
      <c r="U22" s="1"/>
      <c r="V22" s="3"/>
      <c r="W22" s="5"/>
      <c r="X22" s="5"/>
      <c r="Y22" s="5"/>
      <c r="Z22" s="5"/>
    </row>
    <row r="23" spans="2:26" ht="15" customHeight="1" x14ac:dyDescent="0.25">
      <c r="B23" s="202"/>
      <c r="C23" s="204" t="s">
        <v>8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6"/>
      <c r="O23" s="1"/>
      <c r="P23" s="3"/>
      <c r="Q23" s="5"/>
      <c r="R23" s="5"/>
      <c r="S23" s="5"/>
      <c r="T23" s="5"/>
      <c r="U23" s="1"/>
      <c r="V23" s="3"/>
      <c r="W23" s="5"/>
      <c r="X23" s="5"/>
      <c r="Y23" s="5"/>
      <c r="Z23" s="5"/>
    </row>
    <row r="24" spans="2:26" s="14" customFormat="1" x14ac:dyDescent="0.25">
      <c r="B24" s="202"/>
      <c r="C24" s="77" t="s">
        <v>48</v>
      </c>
      <c r="D24" s="72" t="s">
        <v>49</v>
      </c>
      <c r="E24" s="53">
        <v>200</v>
      </c>
      <c r="F24" s="30">
        <v>250</v>
      </c>
      <c r="G24" s="18">
        <f>E24*1.8/100</f>
        <v>3.6</v>
      </c>
      <c r="H24" s="26">
        <f>F24*1.8/100</f>
        <v>4.5</v>
      </c>
      <c r="I24" s="18">
        <f>E24*2.89/100</f>
        <v>5.78</v>
      </c>
      <c r="J24" s="26">
        <f>F24*2.89/100</f>
        <v>7.2249999999999996</v>
      </c>
      <c r="K24" s="18">
        <f>E24*3.62/100</f>
        <v>7.24</v>
      </c>
      <c r="L24" s="26">
        <f>F24*3.62/100</f>
        <v>9.0500000000000007</v>
      </c>
      <c r="M24" s="18">
        <f t="shared" ref="M24:N26" si="3">G24*4+I24*9+K24*4</f>
        <v>95.38</v>
      </c>
      <c r="N24" s="28">
        <f>H24*4+J24*9+L24*4</f>
        <v>119.22499999999999</v>
      </c>
      <c r="O24" s="1"/>
      <c r="P24" s="3"/>
      <c r="Q24" s="5"/>
      <c r="R24" s="5"/>
      <c r="S24" s="5"/>
      <c r="T24" s="5"/>
      <c r="U24" s="1"/>
      <c r="V24" s="3"/>
      <c r="W24" s="5"/>
      <c r="X24" s="5"/>
      <c r="Y24" s="5"/>
      <c r="Z24" s="5"/>
    </row>
    <row r="25" spans="2:26" s="14" customFormat="1" x14ac:dyDescent="0.25">
      <c r="B25" s="202"/>
      <c r="C25" s="77" t="s">
        <v>130</v>
      </c>
      <c r="D25" s="9" t="s">
        <v>131</v>
      </c>
      <c r="E25" s="53">
        <v>90</v>
      </c>
      <c r="F25" s="25">
        <v>100</v>
      </c>
      <c r="G25" s="18">
        <f>E25*10.9/100</f>
        <v>9.81</v>
      </c>
      <c r="H25" s="26">
        <f>F25*10.9/100</f>
        <v>10.9</v>
      </c>
      <c r="I25" s="18">
        <f>E25*16.4/100</f>
        <v>14.759999999999998</v>
      </c>
      <c r="J25" s="26">
        <f>F25*16.4/100</f>
        <v>16.399999999999999</v>
      </c>
      <c r="K25" s="18">
        <f>E25*8.8/100</f>
        <v>7.9200000000000008</v>
      </c>
      <c r="L25" s="26">
        <f>F25*8.8/100</f>
        <v>8.8000000000000007</v>
      </c>
      <c r="M25" s="18">
        <f t="shared" si="3"/>
        <v>203.76</v>
      </c>
      <c r="N25" s="28">
        <f t="shared" si="3"/>
        <v>226.39999999999998</v>
      </c>
      <c r="O25" s="1"/>
      <c r="P25" s="3"/>
      <c r="Q25" s="5"/>
      <c r="R25" s="5"/>
      <c r="S25" s="5"/>
      <c r="T25" s="5"/>
      <c r="U25" s="1"/>
      <c r="V25" s="3"/>
      <c r="W25" s="5"/>
      <c r="X25" s="5"/>
      <c r="Y25" s="5"/>
      <c r="Z25" s="5"/>
    </row>
    <row r="26" spans="2:26" s="14" customFormat="1" x14ac:dyDescent="0.25">
      <c r="B26" s="202"/>
      <c r="C26" s="17" t="s">
        <v>86</v>
      </c>
      <c r="D26" s="6" t="s">
        <v>87</v>
      </c>
      <c r="E26" s="53">
        <v>150</v>
      </c>
      <c r="F26" s="25">
        <v>180</v>
      </c>
      <c r="G26" s="18">
        <f>E26*5.67/100</f>
        <v>8.5050000000000008</v>
      </c>
      <c r="H26" s="26">
        <f>F26*5.67/100</f>
        <v>10.206</v>
      </c>
      <c r="I26" s="18">
        <f>E26*4.24/100</f>
        <v>6.36</v>
      </c>
      <c r="J26" s="26">
        <f>F26*4.24/100</f>
        <v>7.6320000000000006</v>
      </c>
      <c r="K26" s="18">
        <f>E26*25.13/100</f>
        <v>37.695</v>
      </c>
      <c r="L26" s="26">
        <f>F26*25.13/100</f>
        <v>45.233999999999995</v>
      </c>
      <c r="M26" s="18">
        <f t="shared" si="3"/>
        <v>242.04000000000002</v>
      </c>
      <c r="N26" s="28">
        <f t="shared" si="3"/>
        <v>290.44799999999998</v>
      </c>
      <c r="O26" s="1"/>
      <c r="P26" s="3"/>
      <c r="Q26" s="5"/>
      <c r="R26" s="5"/>
      <c r="S26" s="5"/>
      <c r="T26" s="5"/>
      <c r="U26" s="1"/>
      <c r="V26" s="3"/>
      <c r="W26" s="5"/>
      <c r="X26" s="5"/>
      <c r="Y26" s="5"/>
      <c r="Z26" s="5"/>
    </row>
    <row r="27" spans="2:26" s="14" customFormat="1" x14ac:dyDescent="0.25">
      <c r="B27" s="202"/>
      <c r="C27" s="77" t="s">
        <v>42</v>
      </c>
      <c r="D27" s="9" t="s">
        <v>43</v>
      </c>
      <c r="E27" s="53">
        <v>40</v>
      </c>
      <c r="F27" s="25">
        <v>50</v>
      </c>
      <c r="G27" s="18">
        <f>E27*1.3/50</f>
        <v>1.04</v>
      </c>
      <c r="H27" s="26">
        <f>F27*1.3/50</f>
        <v>1.3</v>
      </c>
      <c r="I27" s="18">
        <f>E27*4.8/50</f>
        <v>3.84</v>
      </c>
      <c r="J27" s="26">
        <f>F27*4.8/50</f>
        <v>4.8</v>
      </c>
      <c r="K27" s="18">
        <f>E27*4.7/50</f>
        <v>3.76</v>
      </c>
      <c r="L27" s="26">
        <f>F27*4.7/50</f>
        <v>4.7</v>
      </c>
      <c r="M27" s="18">
        <f t="shared" ref="M27:N27" si="4">G27*4+I27*9+K27*4</f>
        <v>53.76</v>
      </c>
      <c r="N27" s="28">
        <f t="shared" si="4"/>
        <v>67.2</v>
      </c>
      <c r="O27" s="1"/>
      <c r="P27" s="3"/>
      <c r="Q27" s="5"/>
      <c r="R27" s="5"/>
      <c r="S27" s="5"/>
      <c r="T27" s="5"/>
      <c r="U27" s="1"/>
      <c r="V27" s="3"/>
      <c r="W27" s="5"/>
      <c r="X27" s="5"/>
      <c r="Y27" s="5"/>
      <c r="Z27" s="5"/>
    </row>
    <row r="28" spans="2:26" s="14" customFormat="1" x14ac:dyDescent="0.25">
      <c r="B28" s="202"/>
      <c r="C28" s="77" t="s">
        <v>35</v>
      </c>
      <c r="D28" s="9" t="s">
        <v>36</v>
      </c>
      <c r="E28" s="53">
        <v>200</v>
      </c>
      <c r="F28" s="25">
        <v>200</v>
      </c>
      <c r="G28" s="18">
        <f>E28*0.6/200</f>
        <v>0.6</v>
      </c>
      <c r="H28" s="26">
        <f>F28*0.6/200</f>
        <v>0.6</v>
      </c>
      <c r="I28" s="18">
        <f t="shared" ref="I28:J28" si="5">E28*0.1/200</f>
        <v>0.1</v>
      </c>
      <c r="J28" s="26">
        <f t="shared" si="5"/>
        <v>0.1</v>
      </c>
      <c r="K28" s="18">
        <f>E28*20.1/200</f>
        <v>20.100000000000001</v>
      </c>
      <c r="L28" s="26">
        <f>F28*20.1/200</f>
        <v>20.100000000000001</v>
      </c>
      <c r="M28" s="18">
        <f t="shared" ref="M28:N30" si="6">G28*4+I28*9+K28*4</f>
        <v>83.7</v>
      </c>
      <c r="N28" s="28">
        <f t="shared" si="6"/>
        <v>83.7</v>
      </c>
      <c r="O28" s="1"/>
      <c r="P28" s="3"/>
      <c r="Q28" s="5"/>
      <c r="R28" s="5"/>
      <c r="S28" s="5"/>
      <c r="T28" s="5"/>
      <c r="U28" s="1"/>
      <c r="V28" s="3"/>
      <c r="W28" s="5"/>
      <c r="X28" s="5"/>
      <c r="Y28" s="5"/>
      <c r="Z28" s="5"/>
    </row>
    <row r="29" spans="2:26" x14ac:dyDescent="0.25">
      <c r="B29" s="202"/>
      <c r="C29" s="17" t="s">
        <v>50</v>
      </c>
      <c r="D29" s="6" t="s">
        <v>14</v>
      </c>
      <c r="E29" s="47">
        <v>20</v>
      </c>
      <c r="F29" s="48">
        <v>20</v>
      </c>
      <c r="G29" s="18">
        <f>E29*8/100</f>
        <v>1.6</v>
      </c>
      <c r="H29" s="26">
        <f>F29*8/100</f>
        <v>1.6</v>
      </c>
      <c r="I29" s="18">
        <f>E29*1.5/100</f>
        <v>0.3</v>
      </c>
      <c r="J29" s="26">
        <f>F29*1.5/100</f>
        <v>0.3</v>
      </c>
      <c r="K29" s="18">
        <f>E29*40.1/100</f>
        <v>8.02</v>
      </c>
      <c r="L29" s="26">
        <f>F29*40.1/100</f>
        <v>8.02</v>
      </c>
      <c r="M29" s="18">
        <f t="shared" si="6"/>
        <v>41.18</v>
      </c>
      <c r="N29" s="28">
        <f t="shared" si="6"/>
        <v>41.18</v>
      </c>
      <c r="O29" s="1"/>
      <c r="P29" s="3"/>
      <c r="Q29" s="5"/>
      <c r="R29" s="5"/>
      <c r="S29" s="5"/>
      <c r="T29" s="5"/>
      <c r="U29" s="1"/>
      <c r="V29" s="3"/>
      <c r="W29" s="5"/>
      <c r="X29" s="5"/>
      <c r="Y29" s="5"/>
      <c r="Z29" s="5"/>
    </row>
    <row r="30" spans="2:26" x14ac:dyDescent="0.25">
      <c r="B30" s="202"/>
      <c r="C30" s="17" t="s">
        <v>51</v>
      </c>
      <c r="D30" s="6" t="s">
        <v>52</v>
      </c>
      <c r="E30" s="47">
        <v>40</v>
      </c>
      <c r="F30" s="48">
        <v>40</v>
      </c>
      <c r="G30" s="18">
        <f>E30*7.6/100</f>
        <v>3.04</v>
      </c>
      <c r="H30" s="26">
        <f>F30*7.6/100</f>
        <v>3.04</v>
      </c>
      <c r="I30" s="18">
        <f>E30*0.8/100</f>
        <v>0.32</v>
      </c>
      <c r="J30" s="26">
        <f>F30*0.8/100</f>
        <v>0.32</v>
      </c>
      <c r="K30" s="18">
        <f>E30*49.2/100</f>
        <v>19.68</v>
      </c>
      <c r="L30" s="26">
        <f>F30*49.2/100</f>
        <v>19.68</v>
      </c>
      <c r="M30" s="18">
        <f t="shared" si="6"/>
        <v>93.759999999999991</v>
      </c>
      <c r="N30" s="28">
        <f t="shared" si="6"/>
        <v>93.759999999999991</v>
      </c>
      <c r="O30" s="1"/>
      <c r="P30" s="3"/>
      <c r="Q30" s="5" t="s">
        <v>15</v>
      </c>
      <c r="R30" s="5"/>
      <c r="S30" s="5"/>
      <c r="T30" s="5"/>
      <c r="U30" s="1"/>
      <c r="V30" s="3"/>
      <c r="W30" s="5"/>
      <c r="X30" s="5"/>
      <c r="Y30" s="5"/>
      <c r="Z30" s="5"/>
    </row>
    <row r="31" spans="2:26" x14ac:dyDescent="0.25">
      <c r="B31" s="202"/>
      <c r="C31" s="101"/>
      <c r="D31" s="102" t="s">
        <v>10</v>
      </c>
      <c r="E31" s="103">
        <f t="shared" ref="E31:N31" si="7">SUM(E24:E30)</f>
        <v>740</v>
      </c>
      <c r="F31" s="104">
        <f t="shared" si="7"/>
        <v>840</v>
      </c>
      <c r="G31" s="105">
        <f t="shared" si="7"/>
        <v>28.195</v>
      </c>
      <c r="H31" s="106">
        <f t="shared" si="7"/>
        <v>32.146000000000008</v>
      </c>
      <c r="I31" s="103">
        <f t="shared" si="7"/>
        <v>31.46</v>
      </c>
      <c r="J31" s="106">
        <f t="shared" si="7"/>
        <v>36.777000000000001</v>
      </c>
      <c r="K31" s="105">
        <f t="shared" si="7"/>
        <v>104.41499999999999</v>
      </c>
      <c r="L31" s="106">
        <f t="shared" si="7"/>
        <v>115.58399999999997</v>
      </c>
      <c r="M31" s="105">
        <f t="shared" si="7"/>
        <v>813.58</v>
      </c>
      <c r="N31" s="107">
        <f t="shared" si="7"/>
        <v>921.91300000000001</v>
      </c>
      <c r="O31" s="1"/>
      <c r="P31" s="3"/>
      <c r="Q31" s="5"/>
      <c r="R31" s="5"/>
      <c r="S31" s="5" t="s">
        <v>15</v>
      </c>
      <c r="T31" s="5"/>
      <c r="U31" s="1"/>
      <c r="V31" s="3"/>
      <c r="W31" s="5"/>
      <c r="X31" s="5"/>
      <c r="Y31" s="5"/>
      <c r="Z31" s="5"/>
    </row>
    <row r="32" spans="2:26" s="14" customFormat="1" ht="15.75" thickBot="1" x14ac:dyDescent="0.3">
      <c r="B32" s="203"/>
      <c r="C32" s="21"/>
      <c r="D32" s="15" t="s">
        <v>168</v>
      </c>
      <c r="E32" s="57">
        <f>E31+E22</f>
        <v>1140</v>
      </c>
      <c r="F32" s="91">
        <f t="shared" ref="F32:N32" si="8">F31+F22</f>
        <v>1290</v>
      </c>
      <c r="G32" s="16">
        <f t="shared" si="8"/>
        <v>36.96</v>
      </c>
      <c r="H32" s="32">
        <f t="shared" si="8"/>
        <v>42.726000000000006</v>
      </c>
      <c r="I32" s="16">
        <f t="shared" si="8"/>
        <v>44.56</v>
      </c>
      <c r="J32" s="32">
        <f t="shared" si="8"/>
        <v>51.686999999999998</v>
      </c>
      <c r="K32" s="16">
        <f t="shared" si="8"/>
        <v>159.655</v>
      </c>
      <c r="L32" s="32">
        <f t="shared" si="8"/>
        <v>179.53399999999999</v>
      </c>
      <c r="M32" s="16">
        <f t="shared" si="8"/>
        <v>1187.5</v>
      </c>
      <c r="N32" s="34">
        <f t="shared" si="8"/>
        <v>1354.223</v>
      </c>
      <c r="O32" s="1"/>
      <c r="P32" s="3"/>
      <c r="Q32" s="5"/>
      <c r="R32" s="5"/>
      <c r="S32" s="5"/>
      <c r="T32" s="5"/>
      <c r="U32" s="1"/>
      <c r="V32" s="3"/>
      <c r="W32" s="5"/>
      <c r="X32" s="5"/>
      <c r="Y32" s="5"/>
      <c r="Z32" s="5"/>
    </row>
    <row r="33" spans="2:17" x14ac:dyDescent="0.25">
      <c r="B33" s="202" t="s">
        <v>101</v>
      </c>
      <c r="C33" s="226" t="s">
        <v>98</v>
      </c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8"/>
    </row>
    <row r="34" spans="2:17" s="14" customFormat="1" x14ac:dyDescent="0.25">
      <c r="B34" s="202"/>
      <c r="C34" s="17" t="s">
        <v>169</v>
      </c>
      <c r="D34" s="62" t="s">
        <v>170</v>
      </c>
      <c r="E34" s="53">
        <v>200</v>
      </c>
      <c r="F34" s="25">
        <v>200</v>
      </c>
      <c r="G34" s="18">
        <f>E34*2.8/100</f>
        <v>5.6</v>
      </c>
      <c r="H34" s="26">
        <f>F34*2.8/100</f>
        <v>5.6</v>
      </c>
      <c r="I34" s="18">
        <f>E34*3.16/100</f>
        <v>6.32</v>
      </c>
      <c r="J34" s="26">
        <f>F34*3.16/100</f>
        <v>6.32</v>
      </c>
      <c r="K34" s="18">
        <f>E34*9.88/100</f>
        <v>19.760000000000002</v>
      </c>
      <c r="L34" s="26">
        <f>F34*9.88/100</f>
        <v>19.760000000000002</v>
      </c>
      <c r="M34" s="18">
        <f t="shared" ref="M34:N37" si="9">G34*4+I34*9+K34*4</f>
        <v>158.32</v>
      </c>
      <c r="N34" s="28">
        <f t="shared" si="9"/>
        <v>158.32</v>
      </c>
    </row>
    <row r="35" spans="2:17" s="14" customFormat="1" x14ac:dyDescent="0.25">
      <c r="B35" s="202"/>
      <c r="C35" s="17" t="s">
        <v>51</v>
      </c>
      <c r="D35" s="6" t="s">
        <v>52</v>
      </c>
      <c r="E35" s="47">
        <v>40</v>
      </c>
      <c r="F35" s="48">
        <v>40</v>
      </c>
      <c r="G35" s="18">
        <f>E35*7.6/100</f>
        <v>3.04</v>
      </c>
      <c r="H35" s="26">
        <f>F35*7.6/100</f>
        <v>3.04</v>
      </c>
      <c r="I35" s="18">
        <f>E35*0.8/100</f>
        <v>0.32</v>
      </c>
      <c r="J35" s="26">
        <f>F35*0.8/100</f>
        <v>0.32</v>
      </c>
      <c r="K35" s="18">
        <f>E35*49.2/100</f>
        <v>19.68</v>
      </c>
      <c r="L35" s="26">
        <f>F35*49.2/100</f>
        <v>19.68</v>
      </c>
      <c r="M35" s="18">
        <f t="shared" si="9"/>
        <v>93.759999999999991</v>
      </c>
      <c r="N35" s="28">
        <f t="shared" si="9"/>
        <v>93.759999999999991</v>
      </c>
    </row>
    <row r="36" spans="2:17" s="14" customFormat="1" x14ac:dyDescent="0.25">
      <c r="B36" s="202"/>
      <c r="C36" s="93" t="s">
        <v>166</v>
      </c>
      <c r="D36" s="94" t="s">
        <v>167</v>
      </c>
      <c r="E36" s="53">
        <v>10</v>
      </c>
      <c r="F36" s="95">
        <v>10</v>
      </c>
      <c r="G36" s="18">
        <f>E36*23.2/100</f>
        <v>2.3199999999999998</v>
      </c>
      <c r="H36" s="26">
        <f>F36*23.2/100</f>
        <v>2.3199999999999998</v>
      </c>
      <c r="I36" s="18">
        <f>E36*29.5/100</f>
        <v>2.95</v>
      </c>
      <c r="J36" s="26">
        <f>F36*29.5/100</f>
        <v>2.95</v>
      </c>
      <c r="K36" s="18">
        <f>E36*0/100</f>
        <v>0</v>
      </c>
      <c r="L36" s="26">
        <f>F36*0/100</f>
        <v>0</v>
      </c>
      <c r="M36" s="18">
        <f t="shared" si="9"/>
        <v>35.83</v>
      </c>
      <c r="N36" s="28">
        <f t="shared" si="9"/>
        <v>35.83</v>
      </c>
    </row>
    <row r="37" spans="2:17" s="14" customFormat="1" x14ac:dyDescent="0.25">
      <c r="B37" s="202"/>
      <c r="C37" s="77" t="s">
        <v>34</v>
      </c>
      <c r="D37" s="9" t="s">
        <v>94</v>
      </c>
      <c r="E37" s="53">
        <v>200</v>
      </c>
      <c r="F37" s="25">
        <v>200</v>
      </c>
      <c r="G37" s="18">
        <f>E37*0.2/200</f>
        <v>0.2</v>
      </c>
      <c r="H37" s="26">
        <f>F37*0.2/200</f>
        <v>0.2</v>
      </c>
      <c r="I37" s="18">
        <f t="shared" ref="I37" si="10">E37*0.1/200</f>
        <v>0.1</v>
      </c>
      <c r="J37" s="26">
        <f t="shared" ref="J37" si="11">F37*0.1/200</f>
        <v>0.1</v>
      </c>
      <c r="K37" s="18">
        <f>E37*9.3/200</f>
        <v>9.3000000000000007</v>
      </c>
      <c r="L37" s="26">
        <f>F37*9.3/200</f>
        <v>9.3000000000000007</v>
      </c>
      <c r="M37" s="18">
        <f t="shared" si="9"/>
        <v>38.900000000000006</v>
      </c>
      <c r="N37" s="28">
        <f t="shared" si="9"/>
        <v>38.900000000000006</v>
      </c>
    </row>
    <row r="38" spans="2:17" s="14" customFormat="1" x14ac:dyDescent="0.25">
      <c r="B38" s="202"/>
      <c r="C38" s="17"/>
      <c r="D38" s="4" t="s">
        <v>99</v>
      </c>
      <c r="E38" s="64">
        <f t="shared" ref="E38:N38" si="12">SUM(E34:E37)</f>
        <v>450</v>
      </c>
      <c r="F38" s="98">
        <f t="shared" si="12"/>
        <v>450</v>
      </c>
      <c r="G38" s="64">
        <f t="shared" si="12"/>
        <v>11.16</v>
      </c>
      <c r="H38" s="118">
        <f t="shared" si="12"/>
        <v>11.16</v>
      </c>
      <c r="I38" s="64">
        <f t="shared" si="12"/>
        <v>9.69</v>
      </c>
      <c r="J38" s="98">
        <f t="shared" si="12"/>
        <v>9.69</v>
      </c>
      <c r="K38" s="64">
        <f t="shared" si="12"/>
        <v>48.739999999999995</v>
      </c>
      <c r="L38" s="98">
        <f t="shared" si="12"/>
        <v>48.739999999999995</v>
      </c>
      <c r="M38" s="119">
        <f t="shared" si="12"/>
        <v>326.80999999999995</v>
      </c>
      <c r="N38" s="117">
        <f t="shared" si="12"/>
        <v>326.80999999999995</v>
      </c>
    </row>
    <row r="39" spans="2:17" s="14" customFormat="1" x14ac:dyDescent="0.25">
      <c r="B39" s="202"/>
      <c r="C39" s="204" t="s">
        <v>8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6"/>
    </row>
    <row r="40" spans="2:17" s="14" customFormat="1" x14ac:dyDescent="0.25">
      <c r="B40" s="202"/>
      <c r="C40" s="45" t="s">
        <v>44</v>
      </c>
      <c r="D40" s="71" t="s">
        <v>45</v>
      </c>
      <c r="E40" s="53">
        <v>200</v>
      </c>
      <c r="F40" s="30">
        <v>250</v>
      </c>
      <c r="G40" s="18">
        <f>E40*1.95/100</f>
        <v>3.9</v>
      </c>
      <c r="H40" s="26">
        <f>F40*1.95/100</f>
        <v>4.875</v>
      </c>
      <c r="I40" s="18">
        <f>E40*2.96/100</f>
        <v>5.92</v>
      </c>
      <c r="J40" s="26">
        <f>F40*2.96/100</f>
        <v>7.4</v>
      </c>
      <c r="K40" s="18">
        <f>E40*6.21/100</f>
        <v>12.42</v>
      </c>
      <c r="L40" s="26">
        <f>F40*6.21/100</f>
        <v>15.525</v>
      </c>
      <c r="M40" s="19">
        <f t="shared" ref="M40:N41" si="13">G40*4+I40*9+K40*4</f>
        <v>118.56</v>
      </c>
      <c r="N40" s="33">
        <f t="shared" si="13"/>
        <v>148.20000000000002</v>
      </c>
      <c r="Q40" s="14" t="s">
        <v>15</v>
      </c>
    </row>
    <row r="41" spans="2:17" s="14" customFormat="1" x14ac:dyDescent="0.25">
      <c r="B41" s="202"/>
      <c r="C41" s="77" t="s">
        <v>132</v>
      </c>
      <c r="D41" s="9" t="s">
        <v>133</v>
      </c>
      <c r="E41" s="53">
        <v>90</v>
      </c>
      <c r="F41" s="25">
        <v>100</v>
      </c>
      <c r="G41" s="18">
        <f>E41*12.8/100</f>
        <v>11.52</v>
      </c>
      <c r="H41" s="26">
        <f>F41*12.8/100</f>
        <v>12.8</v>
      </c>
      <c r="I41" s="18">
        <f>E41*13.6/100</f>
        <v>12.24</v>
      </c>
      <c r="J41" s="26">
        <f>F41*13.6/100</f>
        <v>13.6</v>
      </c>
      <c r="K41" s="18">
        <f>E41*9.9/100</f>
        <v>8.91</v>
      </c>
      <c r="L41" s="26">
        <f>F41*9.9/100</f>
        <v>9.9</v>
      </c>
      <c r="M41" s="18">
        <f t="shared" si="13"/>
        <v>191.88</v>
      </c>
      <c r="N41" s="28">
        <f t="shared" si="13"/>
        <v>213.2</v>
      </c>
    </row>
    <row r="42" spans="2:17" x14ac:dyDescent="0.25">
      <c r="B42" s="202"/>
      <c r="C42" s="77" t="s">
        <v>12</v>
      </c>
      <c r="D42" s="9" t="s">
        <v>13</v>
      </c>
      <c r="E42" s="53">
        <v>150</v>
      </c>
      <c r="F42" s="25">
        <v>180</v>
      </c>
      <c r="G42" s="18">
        <f>E42*2.1/100</f>
        <v>3.15</v>
      </c>
      <c r="H42" s="26">
        <f>F42*2.1/100</f>
        <v>3.78</v>
      </c>
      <c r="I42" s="18">
        <f>E42*3.5/100</f>
        <v>5.25</v>
      </c>
      <c r="J42" s="26">
        <f>F42*3.5/100</f>
        <v>6.3</v>
      </c>
      <c r="K42" s="18">
        <f>E42*14.6/100</f>
        <v>21.9</v>
      </c>
      <c r="L42" s="26">
        <f>F42*14.6/100</f>
        <v>26.28</v>
      </c>
      <c r="M42" s="18">
        <f t="shared" ref="M42:N44" si="14">G42*4+I42*9+K42*4</f>
        <v>147.44999999999999</v>
      </c>
      <c r="N42" s="28">
        <f t="shared" si="14"/>
        <v>176.94</v>
      </c>
    </row>
    <row r="43" spans="2:17" s="14" customFormat="1" x14ac:dyDescent="0.25">
      <c r="B43" s="202"/>
      <c r="C43" s="77" t="s">
        <v>42</v>
      </c>
      <c r="D43" s="9" t="s">
        <v>43</v>
      </c>
      <c r="E43" s="53">
        <v>40</v>
      </c>
      <c r="F43" s="25">
        <v>50</v>
      </c>
      <c r="G43" s="18">
        <f>E43*1.3/50</f>
        <v>1.04</v>
      </c>
      <c r="H43" s="26">
        <f>F43*1.3/50</f>
        <v>1.3</v>
      </c>
      <c r="I43" s="18">
        <f>E43*4.8/50</f>
        <v>3.84</v>
      </c>
      <c r="J43" s="26">
        <f>F43*4.8/50</f>
        <v>4.8</v>
      </c>
      <c r="K43" s="18">
        <f>E43*4.7/50</f>
        <v>3.76</v>
      </c>
      <c r="L43" s="26">
        <f>F43*4.7/50</f>
        <v>4.7</v>
      </c>
      <c r="M43" s="18">
        <f t="shared" si="14"/>
        <v>53.76</v>
      </c>
      <c r="N43" s="28">
        <f t="shared" si="14"/>
        <v>67.2</v>
      </c>
    </row>
    <row r="44" spans="2:17" x14ac:dyDescent="0.25">
      <c r="B44" s="202"/>
      <c r="C44" s="77" t="s">
        <v>65</v>
      </c>
      <c r="D44" s="9" t="s">
        <v>66</v>
      </c>
      <c r="E44" s="53">
        <v>200</v>
      </c>
      <c r="F44" s="25">
        <v>200</v>
      </c>
      <c r="G44" s="18">
        <f>E44*0.67/200</f>
        <v>0.67</v>
      </c>
      <c r="H44" s="26">
        <f>F44*0.67/200</f>
        <v>0.67</v>
      </c>
      <c r="I44" s="18">
        <f>E44*0.27/200</f>
        <v>0.27</v>
      </c>
      <c r="J44" s="26">
        <f>F44*0.27/200</f>
        <v>0.27</v>
      </c>
      <c r="K44" s="18">
        <f>E44*18.3/200</f>
        <v>18.3</v>
      </c>
      <c r="L44" s="26">
        <f>F44*18.3/200</f>
        <v>18.3</v>
      </c>
      <c r="M44" s="18">
        <f t="shared" si="14"/>
        <v>78.31</v>
      </c>
      <c r="N44" s="28">
        <f t="shared" si="14"/>
        <v>78.31</v>
      </c>
    </row>
    <row r="45" spans="2:17" x14ac:dyDescent="0.25">
      <c r="B45" s="202"/>
      <c r="C45" s="17" t="s">
        <v>50</v>
      </c>
      <c r="D45" s="6" t="s">
        <v>14</v>
      </c>
      <c r="E45" s="47">
        <v>20</v>
      </c>
      <c r="F45" s="48">
        <v>20</v>
      </c>
      <c r="G45" s="18">
        <f>E45*8/100</f>
        <v>1.6</v>
      </c>
      <c r="H45" s="26">
        <f>F45*8/100</f>
        <v>1.6</v>
      </c>
      <c r="I45" s="18">
        <f>E45*1.5/100</f>
        <v>0.3</v>
      </c>
      <c r="J45" s="26">
        <f>F45*1.5/100</f>
        <v>0.3</v>
      </c>
      <c r="K45" s="18">
        <f>E45*40.1/100</f>
        <v>8.02</v>
      </c>
      <c r="L45" s="26">
        <f>F45*40.1/100</f>
        <v>8.02</v>
      </c>
      <c r="M45" s="18">
        <f t="shared" ref="M45:N46" si="15">G45*4+I45*9+K45*4</f>
        <v>41.18</v>
      </c>
      <c r="N45" s="28">
        <f t="shared" si="15"/>
        <v>41.18</v>
      </c>
    </row>
    <row r="46" spans="2:17" x14ac:dyDescent="0.25">
      <c r="B46" s="202"/>
      <c r="C46" s="17" t="s">
        <v>51</v>
      </c>
      <c r="D46" s="6" t="s">
        <v>52</v>
      </c>
      <c r="E46" s="47">
        <v>40</v>
      </c>
      <c r="F46" s="48">
        <v>40</v>
      </c>
      <c r="G46" s="18">
        <f>E46*7.6/100</f>
        <v>3.04</v>
      </c>
      <c r="H46" s="26">
        <f>F46*7.6/100</f>
        <v>3.04</v>
      </c>
      <c r="I46" s="18">
        <f>E46*0.8/100</f>
        <v>0.32</v>
      </c>
      <c r="J46" s="26">
        <f>F46*0.8/100</f>
        <v>0.32</v>
      </c>
      <c r="K46" s="18">
        <f>E46*49.2/100</f>
        <v>19.68</v>
      </c>
      <c r="L46" s="26">
        <f>F46*49.2/100</f>
        <v>19.68</v>
      </c>
      <c r="M46" s="18">
        <f t="shared" si="15"/>
        <v>93.759999999999991</v>
      </c>
      <c r="N46" s="28">
        <f t="shared" si="15"/>
        <v>93.759999999999991</v>
      </c>
    </row>
    <row r="47" spans="2:17" x14ac:dyDescent="0.25">
      <c r="B47" s="202"/>
      <c r="C47" s="17"/>
      <c r="D47" s="4" t="s">
        <v>10</v>
      </c>
      <c r="E47" s="20">
        <f t="shared" ref="E47:N47" si="16">SUM(E40:E46)</f>
        <v>740</v>
      </c>
      <c r="F47" s="31">
        <f t="shared" si="16"/>
        <v>840</v>
      </c>
      <c r="G47" s="7">
        <f t="shared" si="16"/>
        <v>24.92</v>
      </c>
      <c r="H47" s="27">
        <f t="shared" si="16"/>
        <v>28.065000000000005</v>
      </c>
      <c r="I47" s="20">
        <f t="shared" si="16"/>
        <v>28.14</v>
      </c>
      <c r="J47" s="27">
        <f t="shared" si="16"/>
        <v>32.99</v>
      </c>
      <c r="K47" s="7">
        <f t="shared" si="16"/>
        <v>92.989999999999981</v>
      </c>
      <c r="L47" s="27">
        <f t="shared" si="16"/>
        <v>102.405</v>
      </c>
      <c r="M47" s="7">
        <f t="shared" si="16"/>
        <v>724.9</v>
      </c>
      <c r="N47" s="29">
        <f t="shared" si="16"/>
        <v>818.78999999999985</v>
      </c>
    </row>
    <row r="48" spans="2:17" s="14" customFormat="1" ht="15.75" thickBot="1" x14ac:dyDescent="0.3">
      <c r="B48" s="96"/>
      <c r="C48" s="109"/>
      <c r="D48" s="110" t="s">
        <v>168</v>
      </c>
      <c r="E48" s="111">
        <f>E47+E38</f>
        <v>1190</v>
      </c>
      <c r="F48" s="116">
        <f>F47+F38</f>
        <v>1290</v>
      </c>
      <c r="G48" s="113">
        <f>G47+G38</f>
        <v>36.08</v>
      </c>
      <c r="H48" s="114">
        <f t="shared" ref="H48" si="17">H47+H38</f>
        <v>39.225000000000009</v>
      </c>
      <c r="I48" s="113">
        <f t="shared" ref="I48" si="18">I47+I38</f>
        <v>37.83</v>
      </c>
      <c r="J48" s="114">
        <f t="shared" ref="J48" si="19">J47+J38</f>
        <v>42.68</v>
      </c>
      <c r="K48" s="113">
        <f t="shared" ref="K48" si="20">K47+K38</f>
        <v>141.72999999999996</v>
      </c>
      <c r="L48" s="114">
        <f t="shared" ref="L48" si="21">L47+L38</f>
        <v>151.14499999999998</v>
      </c>
      <c r="M48" s="113">
        <f t="shared" ref="M48" si="22">M47+M38</f>
        <v>1051.71</v>
      </c>
      <c r="N48" s="115">
        <f>N47+N38</f>
        <v>1145.5999999999999</v>
      </c>
    </row>
    <row r="49" spans="2:18" ht="15" customHeight="1" x14ac:dyDescent="0.25">
      <c r="B49" s="201" t="s">
        <v>102</v>
      </c>
      <c r="C49" s="226" t="s">
        <v>98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2:18" s="14" customFormat="1" x14ac:dyDescent="0.25">
      <c r="B50" s="202"/>
      <c r="C50" s="100" t="s">
        <v>138</v>
      </c>
      <c r="D50" s="92" t="s">
        <v>139</v>
      </c>
      <c r="E50" s="53">
        <v>150</v>
      </c>
      <c r="F50" s="25">
        <v>200</v>
      </c>
      <c r="G50" s="18">
        <f>E50*2.5/100</f>
        <v>3.75</v>
      </c>
      <c r="H50" s="26">
        <f>F50*2.5/100</f>
        <v>5</v>
      </c>
      <c r="I50" s="18">
        <f>E50*3.18/100</f>
        <v>4.7699999999999996</v>
      </c>
      <c r="J50" s="26">
        <f>F50*3.18/100</f>
        <v>6.36</v>
      </c>
      <c r="K50" s="18">
        <f>E50*15.7/100</f>
        <v>23.55</v>
      </c>
      <c r="L50" s="26">
        <f>F50*15.7/100</f>
        <v>31.4</v>
      </c>
      <c r="M50" s="18">
        <f t="shared" ref="M50:N53" si="23">G50*4+I50*9+K50*4</f>
        <v>152.13</v>
      </c>
      <c r="N50" s="28">
        <f t="shared" si="23"/>
        <v>202.84</v>
      </c>
    </row>
    <row r="51" spans="2:18" s="14" customFormat="1" x14ac:dyDescent="0.25">
      <c r="B51" s="202"/>
      <c r="C51" s="17" t="s">
        <v>51</v>
      </c>
      <c r="D51" s="6" t="s">
        <v>52</v>
      </c>
      <c r="E51" s="47">
        <v>40</v>
      </c>
      <c r="F51" s="48">
        <v>40</v>
      </c>
      <c r="G51" s="18">
        <f>E51*7.6/100</f>
        <v>3.04</v>
      </c>
      <c r="H51" s="26">
        <f>F51*7.6/100</f>
        <v>3.04</v>
      </c>
      <c r="I51" s="18">
        <f>E51*0.8/100</f>
        <v>0.32</v>
      </c>
      <c r="J51" s="26">
        <f>F51*0.8/100</f>
        <v>0.32</v>
      </c>
      <c r="K51" s="18">
        <f>E51*49.2/100</f>
        <v>19.68</v>
      </c>
      <c r="L51" s="26">
        <f>F51*49.2/100</f>
        <v>19.68</v>
      </c>
      <c r="M51" s="18">
        <f t="shared" si="23"/>
        <v>93.759999999999991</v>
      </c>
      <c r="N51" s="28">
        <f t="shared" si="23"/>
        <v>93.759999999999991</v>
      </c>
    </row>
    <row r="52" spans="2:18" s="14" customFormat="1" x14ac:dyDescent="0.25">
      <c r="B52" s="202"/>
      <c r="C52" s="93" t="s">
        <v>140</v>
      </c>
      <c r="D52" s="94" t="s">
        <v>141</v>
      </c>
      <c r="E52" s="53">
        <v>10</v>
      </c>
      <c r="F52" s="95">
        <v>10</v>
      </c>
      <c r="G52" s="18">
        <f>E52*0.8/100</f>
        <v>0.08</v>
      </c>
      <c r="H52" s="26">
        <f>F52*0.8/100</f>
        <v>0.08</v>
      </c>
      <c r="I52" s="18">
        <f>E52*72.5/100</f>
        <v>7.25</v>
      </c>
      <c r="J52" s="26">
        <f>F52*72.5/100</f>
        <v>7.25</v>
      </c>
      <c r="K52" s="18">
        <f>E52*1.3/100</f>
        <v>0.13</v>
      </c>
      <c r="L52" s="26">
        <f>F52*1.3/100</f>
        <v>0.13</v>
      </c>
      <c r="M52" s="18">
        <f t="shared" si="23"/>
        <v>66.089999999999989</v>
      </c>
      <c r="N52" s="28">
        <f t="shared" si="23"/>
        <v>66.089999999999989</v>
      </c>
    </row>
    <row r="53" spans="2:18" s="14" customFormat="1" x14ac:dyDescent="0.25">
      <c r="B53" s="202"/>
      <c r="C53" s="77" t="s">
        <v>34</v>
      </c>
      <c r="D53" s="9" t="s">
        <v>94</v>
      </c>
      <c r="E53" s="53">
        <v>200</v>
      </c>
      <c r="F53" s="25">
        <v>200</v>
      </c>
      <c r="G53" s="18">
        <f>E53*0.2/200</f>
        <v>0.2</v>
      </c>
      <c r="H53" s="26">
        <f>F53*0.2/200</f>
        <v>0.2</v>
      </c>
      <c r="I53" s="18">
        <f t="shared" ref="I53" si="24">E53*0.1/200</f>
        <v>0.1</v>
      </c>
      <c r="J53" s="26">
        <f t="shared" ref="J53" si="25">F53*0.1/200</f>
        <v>0.1</v>
      </c>
      <c r="K53" s="18">
        <f>E53*9.3/200</f>
        <v>9.3000000000000007</v>
      </c>
      <c r="L53" s="26">
        <f>F53*9.3/200</f>
        <v>9.3000000000000007</v>
      </c>
      <c r="M53" s="18">
        <f t="shared" si="23"/>
        <v>38.900000000000006</v>
      </c>
      <c r="N53" s="28">
        <f t="shared" si="23"/>
        <v>38.900000000000006</v>
      </c>
    </row>
    <row r="54" spans="2:18" s="14" customFormat="1" x14ac:dyDescent="0.25">
      <c r="B54" s="202"/>
      <c r="C54" s="65"/>
      <c r="D54" s="4" t="s">
        <v>99</v>
      </c>
      <c r="E54" s="20">
        <f t="shared" ref="E54:N54" si="26">SUM(E50:E53)</f>
        <v>400</v>
      </c>
      <c r="F54" s="99">
        <f t="shared" si="26"/>
        <v>450</v>
      </c>
      <c r="G54" s="7">
        <f t="shared" si="26"/>
        <v>7.07</v>
      </c>
      <c r="H54" s="27">
        <f t="shared" si="26"/>
        <v>8.3199999999999985</v>
      </c>
      <c r="I54" s="7">
        <f t="shared" si="26"/>
        <v>12.44</v>
      </c>
      <c r="J54" s="27">
        <f t="shared" si="26"/>
        <v>14.03</v>
      </c>
      <c r="K54" s="7">
        <f t="shared" si="26"/>
        <v>52.660000000000011</v>
      </c>
      <c r="L54" s="27">
        <f t="shared" si="26"/>
        <v>60.510000000000005</v>
      </c>
      <c r="M54" s="7">
        <f t="shared" si="26"/>
        <v>350.88</v>
      </c>
      <c r="N54" s="29">
        <f t="shared" si="26"/>
        <v>401.59000000000003</v>
      </c>
    </row>
    <row r="55" spans="2:18" s="14" customFormat="1" x14ac:dyDescent="0.25">
      <c r="B55" s="202"/>
      <c r="C55" s="204" t="s">
        <v>8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6"/>
    </row>
    <row r="56" spans="2:18" s="14" customFormat="1" ht="16.5" customHeight="1" x14ac:dyDescent="0.25">
      <c r="B56" s="202"/>
      <c r="C56" s="77" t="s">
        <v>67</v>
      </c>
      <c r="D56" s="71" t="s">
        <v>68</v>
      </c>
      <c r="E56" s="76">
        <v>200</v>
      </c>
      <c r="F56" s="35">
        <v>250</v>
      </c>
      <c r="G56" s="18">
        <f>E56*1.84/100</f>
        <v>3.68</v>
      </c>
      <c r="H56" s="26">
        <f>F56*1.84/100</f>
        <v>4.5999999999999996</v>
      </c>
      <c r="I56" s="18">
        <f>E56*2.91/100</f>
        <v>5.82</v>
      </c>
      <c r="J56" s="26">
        <f>F56*2.91/100</f>
        <v>7.2750000000000004</v>
      </c>
      <c r="K56" s="18">
        <f>E56*5.62/100</f>
        <v>11.24</v>
      </c>
      <c r="L56" s="26">
        <f>F56*5.62/100</f>
        <v>14.05</v>
      </c>
      <c r="M56" s="19">
        <f t="shared" ref="M56:N57" si="27">G56*4+I56*9+K56*4</f>
        <v>112.06</v>
      </c>
      <c r="N56" s="33">
        <f t="shared" si="27"/>
        <v>140.07499999999999</v>
      </c>
    </row>
    <row r="57" spans="2:18" s="14" customFormat="1" ht="16.5" customHeight="1" x14ac:dyDescent="0.25">
      <c r="B57" s="202"/>
      <c r="C57" s="77" t="s">
        <v>88</v>
      </c>
      <c r="D57" s="9" t="s">
        <v>89</v>
      </c>
      <c r="E57" s="53">
        <v>90</v>
      </c>
      <c r="F57" s="25">
        <v>100</v>
      </c>
      <c r="G57" s="18">
        <f>E57*12/100</f>
        <v>10.8</v>
      </c>
      <c r="H57" s="26">
        <f>F57*12/100</f>
        <v>12</v>
      </c>
      <c r="I57" s="18">
        <f>E57*24/100</f>
        <v>21.6</v>
      </c>
      <c r="J57" s="26">
        <f>F57*24/100</f>
        <v>24</v>
      </c>
      <c r="K57" s="18">
        <f>E57*5/100</f>
        <v>4.5</v>
      </c>
      <c r="L57" s="26">
        <f>F57*5/100</f>
        <v>5</v>
      </c>
      <c r="M57" s="18">
        <f t="shared" si="27"/>
        <v>255.60000000000002</v>
      </c>
      <c r="N57" s="28">
        <f t="shared" si="27"/>
        <v>284</v>
      </c>
    </row>
    <row r="58" spans="2:18" s="14" customFormat="1" ht="15" customHeight="1" x14ac:dyDescent="0.25">
      <c r="B58" s="202"/>
      <c r="C58" s="17" t="s">
        <v>23</v>
      </c>
      <c r="D58" s="6" t="s">
        <v>9</v>
      </c>
      <c r="E58" s="53">
        <v>150</v>
      </c>
      <c r="F58" s="25">
        <v>180</v>
      </c>
      <c r="G58" s="18">
        <f>E58*3.63/100</f>
        <v>5.4450000000000003</v>
      </c>
      <c r="H58" s="26">
        <f>F58*3.63/100</f>
        <v>6.5339999999999998</v>
      </c>
      <c r="I58" s="18">
        <f>E58*4.5/100</f>
        <v>6.75</v>
      </c>
      <c r="J58" s="26">
        <f>F58*4.5/100</f>
        <v>8.1</v>
      </c>
      <c r="K58" s="18">
        <f>E58*22.5/100</f>
        <v>33.75</v>
      </c>
      <c r="L58" s="26">
        <f>F58*22.5/100</f>
        <v>40.5</v>
      </c>
      <c r="M58" s="18">
        <f t="shared" ref="M58:N59" si="28">G58*4+I58*9+K58*4</f>
        <v>217.53</v>
      </c>
      <c r="N58" s="28">
        <f t="shared" ref="N58" si="29">H58*4+J58*9+L58*4</f>
        <v>261.036</v>
      </c>
    </row>
    <row r="59" spans="2:18" x14ac:dyDescent="0.25">
      <c r="B59" s="202"/>
      <c r="C59" s="77" t="s">
        <v>34</v>
      </c>
      <c r="D59" s="9" t="s">
        <v>94</v>
      </c>
      <c r="E59" s="53">
        <v>200</v>
      </c>
      <c r="F59" s="25">
        <v>200</v>
      </c>
      <c r="G59" s="18">
        <f>E59*0.2/200</f>
        <v>0.2</v>
      </c>
      <c r="H59" s="26">
        <f>F59*0.2/200</f>
        <v>0.2</v>
      </c>
      <c r="I59" s="18">
        <f t="shared" ref="I59:J59" si="30">E59*0.1/200</f>
        <v>0.1</v>
      </c>
      <c r="J59" s="26">
        <f t="shared" si="30"/>
        <v>0.1</v>
      </c>
      <c r="K59" s="18">
        <f>E59*9.3/200</f>
        <v>9.3000000000000007</v>
      </c>
      <c r="L59" s="26">
        <f>F59*9.3/200</f>
        <v>9.3000000000000007</v>
      </c>
      <c r="M59" s="18">
        <f t="shared" si="28"/>
        <v>38.900000000000006</v>
      </c>
      <c r="N59" s="28">
        <f t="shared" si="28"/>
        <v>38.900000000000006</v>
      </c>
    </row>
    <row r="60" spans="2:18" x14ac:dyDescent="0.25">
      <c r="B60" s="202"/>
      <c r="C60" s="17" t="s">
        <v>50</v>
      </c>
      <c r="D60" s="6" t="s">
        <v>14</v>
      </c>
      <c r="E60" s="47">
        <v>20</v>
      </c>
      <c r="F60" s="48">
        <v>20</v>
      </c>
      <c r="G60" s="18">
        <f>E60*8/100</f>
        <v>1.6</v>
      </c>
      <c r="H60" s="26">
        <f>F60*8/100</f>
        <v>1.6</v>
      </c>
      <c r="I60" s="18">
        <f>E60*1.5/100</f>
        <v>0.3</v>
      </c>
      <c r="J60" s="26">
        <f>F60*1.5/100</f>
        <v>0.3</v>
      </c>
      <c r="K60" s="18">
        <f>E60*40.1/100</f>
        <v>8.02</v>
      </c>
      <c r="L60" s="26">
        <f>F60*40.1/100</f>
        <v>8.02</v>
      </c>
      <c r="M60" s="18">
        <f t="shared" ref="M60:N61" si="31">G60*4+I60*9+K60*4</f>
        <v>41.18</v>
      </c>
      <c r="N60" s="28">
        <f t="shared" si="31"/>
        <v>41.18</v>
      </c>
      <c r="R60" s="12" t="s">
        <v>15</v>
      </c>
    </row>
    <row r="61" spans="2:18" x14ac:dyDescent="0.25">
      <c r="B61" s="202"/>
      <c r="C61" s="17" t="s">
        <v>51</v>
      </c>
      <c r="D61" s="6" t="s">
        <v>52</v>
      </c>
      <c r="E61" s="47">
        <v>40</v>
      </c>
      <c r="F61" s="48">
        <v>50</v>
      </c>
      <c r="G61" s="18">
        <f>E61*7.6/100</f>
        <v>3.04</v>
      </c>
      <c r="H61" s="26">
        <f>F61*7.6/100</f>
        <v>3.8</v>
      </c>
      <c r="I61" s="18">
        <f>E61*0.8/100</f>
        <v>0.32</v>
      </c>
      <c r="J61" s="26">
        <f>F61*0.8/100</f>
        <v>0.4</v>
      </c>
      <c r="K61" s="18">
        <f>E61*49.2/100</f>
        <v>19.68</v>
      </c>
      <c r="L61" s="26">
        <f>F61*49.2/100</f>
        <v>24.6</v>
      </c>
      <c r="M61" s="18">
        <f t="shared" si="31"/>
        <v>93.759999999999991</v>
      </c>
      <c r="N61" s="28">
        <f t="shared" si="31"/>
        <v>117.2</v>
      </c>
    </row>
    <row r="62" spans="2:18" x14ac:dyDescent="0.25">
      <c r="B62" s="202"/>
      <c r="C62" s="17"/>
      <c r="D62" s="4" t="s">
        <v>10</v>
      </c>
      <c r="E62" s="20">
        <f t="shared" ref="E62:N62" si="32">SUM(E56:E61)</f>
        <v>700</v>
      </c>
      <c r="F62" s="31">
        <f t="shared" si="32"/>
        <v>800</v>
      </c>
      <c r="G62" s="7">
        <f t="shared" si="32"/>
        <v>24.765000000000001</v>
      </c>
      <c r="H62" s="27">
        <f t="shared" si="32"/>
        <v>28.734000000000002</v>
      </c>
      <c r="I62" s="20">
        <f t="shared" si="32"/>
        <v>34.89</v>
      </c>
      <c r="J62" s="27">
        <f t="shared" si="32"/>
        <v>40.174999999999997</v>
      </c>
      <c r="K62" s="7">
        <f t="shared" si="32"/>
        <v>86.490000000000009</v>
      </c>
      <c r="L62" s="27">
        <f t="shared" si="32"/>
        <v>101.47</v>
      </c>
      <c r="M62" s="7">
        <f t="shared" si="32"/>
        <v>759.03</v>
      </c>
      <c r="N62" s="29">
        <f t="shared" si="32"/>
        <v>882.39099999999996</v>
      </c>
    </row>
    <row r="63" spans="2:18" s="14" customFormat="1" ht="15.75" thickBot="1" x14ac:dyDescent="0.3">
      <c r="B63" s="203"/>
      <c r="C63" s="109"/>
      <c r="D63" s="110" t="s">
        <v>168</v>
      </c>
      <c r="E63" s="111">
        <f>E62+E54</f>
        <v>1100</v>
      </c>
      <c r="F63" s="116">
        <f>F62+F54</f>
        <v>1250</v>
      </c>
      <c r="G63" s="113">
        <f t="shared" ref="G63:N63" si="33">G62+G54</f>
        <v>31.835000000000001</v>
      </c>
      <c r="H63" s="114">
        <f t="shared" si="33"/>
        <v>37.054000000000002</v>
      </c>
      <c r="I63" s="113">
        <f t="shared" si="33"/>
        <v>47.33</v>
      </c>
      <c r="J63" s="114">
        <f t="shared" si="33"/>
        <v>54.204999999999998</v>
      </c>
      <c r="K63" s="113">
        <f t="shared" si="33"/>
        <v>139.15000000000003</v>
      </c>
      <c r="L63" s="114">
        <f t="shared" si="33"/>
        <v>161.98000000000002</v>
      </c>
      <c r="M63" s="113">
        <f t="shared" si="33"/>
        <v>1109.9099999999999</v>
      </c>
      <c r="N63" s="115">
        <f t="shared" si="33"/>
        <v>1283.981</v>
      </c>
    </row>
  </sheetData>
  <mergeCells count="23">
    <mergeCell ref="C33:N33"/>
    <mergeCell ref="C49:N49"/>
    <mergeCell ref="M14:N15"/>
    <mergeCell ref="G15:H15"/>
    <mergeCell ref="I15:J15"/>
    <mergeCell ref="K15:L15"/>
    <mergeCell ref="C17:N17"/>
    <mergeCell ref="B17:B32"/>
    <mergeCell ref="B49:B63"/>
    <mergeCell ref="C39:N39"/>
    <mergeCell ref="C55:N55"/>
    <mergeCell ref="C2:G2"/>
    <mergeCell ref="C4:F4"/>
    <mergeCell ref="D10:N10"/>
    <mergeCell ref="D11:M11"/>
    <mergeCell ref="D12:M12"/>
    <mergeCell ref="B14:B16"/>
    <mergeCell ref="B33:B47"/>
    <mergeCell ref="C23:N23"/>
    <mergeCell ref="C14:C16"/>
    <mergeCell ref="D14:D16"/>
    <mergeCell ref="E14:F15"/>
    <mergeCell ref="G14:L14"/>
  </mergeCells>
  <pageMargins left="0.23622047244094491" right="0.23622047244094491" top="0.19685039370078741" bottom="0.19685039370078741" header="0.31496062992125984" footer="0.31496062992125984"/>
  <pageSetup paperSize="9" scale="70" fitToWidth="0" fitToHeight="0" orientation="portrait" r:id="rId1"/>
  <ignoredErrors>
    <ignoredError sqref="G36:L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3:Z35"/>
  <sheetViews>
    <sheetView zoomScale="90" zoomScaleNormal="90" zoomScalePageLayoutView="90" workbookViewId="0">
      <selection activeCell="D56" sqref="D56"/>
    </sheetView>
  </sheetViews>
  <sheetFormatPr defaultRowHeight="15" x14ac:dyDescent="0.25"/>
  <cols>
    <col min="1" max="1" width="6.42578125" style="14" customWidth="1"/>
    <col min="2" max="2" width="2.7109375" style="14" customWidth="1"/>
    <col min="3" max="3" width="10.5703125" style="14" customWidth="1"/>
    <col min="4" max="4" width="42.7109375" style="14" customWidth="1"/>
    <col min="5" max="6" width="7.28515625" style="14" customWidth="1"/>
    <col min="7" max="7" width="6.7109375" style="14" customWidth="1"/>
    <col min="8" max="8" width="6.85546875" style="14" customWidth="1"/>
    <col min="9" max="9" width="6.42578125" style="14" customWidth="1"/>
    <col min="10" max="10" width="6.5703125" style="14" customWidth="1"/>
    <col min="11" max="11" width="7.5703125" style="14" customWidth="1"/>
    <col min="12" max="12" width="7.42578125" style="14" customWidth="1"/>
    <col min="13" max="13" width="8.5703125" style="14" customWidth="1"/>
    <col min="14" max="14" width="9.5703125" style="14" customWidth="1"/>
    <col min="15" max="15" width="9" style="14" customWidth="1"/>
    <col min="16" max="16" width="7.28515625" style="14" customWidth="1"/>
    <col min="17" max="20" width="9.140625" style="14"/>
    <col min="21" max="21" width="7.28515625" style="14" customWidth="1"/>
    <col min="22" max="22" width="7.7109375" style="14" customWidth="1"/>
    <col min="23" max="23" width="9.140625" style="14"/>
    <col min="24" max="24" width="7.7109375" style="14" customWidth="1"/>
    <col min="25" max="16384" width="9.140625" style="14"/>
  </cols>
  <sheetData>
    <row r="3" spans="2:26" ht="15.75" thickBot="1" x14ac:dyDescent="0.3"/>
    <row r="4" spans="2:26" ht="15" customHeight="1" x14ac:dyDescent="0.25">
      <c r="B4" s="212" t="s">
        <v>28</v>
      </c>
      <c r="C4" s="215" t="s">
        <v>0</v>
      </c>
      <c r="D4" s="218" t="s">
        <v>1</v>
      </c>
      <c r="E4" s="221" t="s">
        <v>6</v>
      </c>
      <c r="F4" s="222"/>
      <c r="G4" s="225" t="s">
        <v>7</v>
      </c>
      <c r="H4" s="225"/>
      <c r="I4" s="225"/>
      <c r="J4" s="225"/>
      <c r="K4" s="225"/>
      <c r="L4" s="225"/>
      <c r="M4" s="229" t="s">
        <v>5</v>
      </c>
      <c r="N4" s="230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x14ac:dyDescent="0.25">
      <c r="B5" s="213"/>
      <c r="C5" s="216"/>
      <c r="D5" s="219"/>
      <c r="E5" s="223"/>
      <c r="F5" s="224"/>
      <c r="G5" s="233" t="s">
        <v>3</v>
      </c>
      <c r="H5" s="233"/>
      <c r="I5" s="231" t="s">
        <v>2</v>
      </c>
      <c r="J5" s="231"/>
      <c r="K5" s="233" t="s">
        <v>4</v>
      </c>
      <c r="L5" s="233"/>
      <c r="M5" s="231"/>
      <c r="N5" s="232"/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27.75" customHeight="1" thickBot="1" x14ac:dyDescent="0.3">
      <c r="B6" s="214"/>
      <c r="C6" s="217"/>
      <c r="D6" s="220"/>
      <c r="E6" s="22" t="s">
        <v>11</v>
      </c>
      <c r="F6" s="23" t="s">
        <v>33</v>
      </c>
      <c r="G6" s="22" t="s">
        <v>11</v>
      </c>
      <c r="H6" s="23" t="s">
        <v>33</v>
      </c>
      <c r="I6" s="22" t="s">
        <v>11</v>
      </c>
      <c r="J6" s="23" t="s">
        <v>33</v>
      </c>
      <c r="K6" s="22" t="s">
        <v>11</v>
      </c>
      <c r="L6" s="23" t="s">
        <v>33</v>
      </c>
      <c r="M6" s="22" t="s">
        <v>11</v>
      </c>
      <c r="N6" s="24" t="s">
        <v>33</v>
      </c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25">
      <c r="B7" s="237" t="s">
        <v>103</v>
      </c>
      <c r="C7" s="226" t="s">
        <v>98</v>
      </c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8"/>
    </row>
    <row r="8" spans="2:26" x14ac:dyDescent="0.25">
      <c r="B8" s="238"/>
      <c r="C8" s="77" t="s">
        <v>171</v>
      </c>
      <c r="D8" s="8" t="s">
        <v>172</v>
      </c>
      <c r="E8" s="53">
        <v>150</v>
      </c>
      <c r="F8" s="108">
        <v>200</v>
      </c>
      <c r="G8" s="18">
        <f>E8*3.63/100</f>
        <v>5.4450000000000003</v>
      </c>
      <c r="H8" s="26">
        <f>F8*3.63/100</f>
        <v>7.26</v>
      </c>
      <c r="I8" s="18">
        <f>E8*3.23/100</f>
        <v>4.8449999999999998</v>
      </c>
      <c r="J8" s="26">
        <f>F8*3.23/100</f>
        <v>6.46</v>
      </c>
      <c r="K8" s="18">
        <f>E8*17.68/100</f>
        <v>26.52</v>
      </c>
      <c r="L8" s="26">
        <f>F8*17.68/100</f>
        <v>35.36</v>
      </c>
      <c r="M8" s="18">
        <f t="shared" ref="M8:N11" si="0">G8*4+I8*9+K8*4</f>
        <v>171.46499999999997</v>
      </c>
      <c r="N8" s="28">
        <f t="shared" si="0"/>
        <v>228.62</v>
      </c>
    </row>
    <row r="9" spans="2:26" x14ac:dyDescent="0.25">
      <c r="B9" s="238"/>
      <c r="C9" s="17" t="s">
        <v>51</v>
      </c>
      <c r="D9" s="6" t="s">
        <v>52</v>
      </c>
      <c r="E9" s="47">
        <v>40</v>
      </c>
      <c r="F9" s="48">
        <v>50</v>
      </c>
      <c r="G9" s="18">
        <f>E9*7.6/100</f>
        <v>3.04</v>
      </c>
      <c r="H9" s="26">
        <f>F9*7.6/100</f>
        <v>3.8</v>
      </c>
      <c r="I9" s="18">
        <f>E9*0.8/100</f>
        <v>0.32</v>
      </c>
      <c r="J9" s="26">
        <f>F9*0.8/100</f>
        <v>0.4</v>
      </c>
      <c r="K9" s="18">
        <f>E9*49.2/100</f>
        <v>19.68</v>
      </c>
      <c r="L9" s="26">
        <f>F9*49.2/100</f>
        <v>24.6</v>
      </c>
      <c r="M9" s="18">
        <f t="shared" si="0"/>
        <v>93.759999999999991</v>
      </c>
      <c r="N9" s="28">
        <f t="shared" si="0"/>
        <v>117.2</v>
      </c>
    </row>
    <row r="10" spans="2:26" x14ac:dyDescent="0.25">
      <c r="B10" s="238"/>
      <c r="C10" s="93" t="s">
        <v>140</v>
      </c>
      <c r="D10" s="94" t="s">
        <v>141</v>
      </c>
      <c r="E10" s="53">
        <v>10</v>
      </c>
      <c r="F10" s="95">
        <v>10</v>
      </c>
      <c r="G10" s="18">
        <f>E10*0.8/100</f>
        <v>0.08</v>
      </c>
      <c r="H10" s="26">
        <f>F10*0.8/100</f>
        <v>0.08</v>
      </c>
      <c r="I10" s="18">
        <f>E10*72.5/100</f>
        <v>7.25</v>
      </c>
      <c r="J10" s="26">
        <f>F10*72.5/100</f>
        <v>7.25</v>
      </c>
      <c r="K10" s="18">
        <f>E10*1.3/100</f>
        <v>0.13</v>
      </c>
      <c r="L10" s="26">
        <f>F10*1.3/100</f>
        <v>0.13</v>
      </c>
      <c r="M10" s="18">
        <f t="shared" si="0"/>
        <v>66.089999999999989</v>
      </c>
      <c r="N10" s="28">
        <f t="shared" si="0"/>
        <v>66.089999999999989</v>
      </c>
    </row>
    <row r="11" spans="2:26" x14ac:dyDescent="0.25">
      <c r="B11" s="238"/>
      <c r="C11" s="77" t="s">
        <v>34</v>
      </c>
      <c r="D11" s="9" t="s">
        <v>94</v>
      </c>
      <c r="E11" s="53">
        <v>200</v>
      </c>
      <c r="F11" s="25">
        <v>200</v>
      </c>
      <c r="G11" s="18">
        <f>E11*0.2/200</f>
        <v>0.2</v>
      </c>
      <c r="H11" s="26">
        <f>F11*0.2/200</f>
        <v>0.2</v>
      </c>
      <c r="I11" s="18">
        <f t="shared" ref="I11:J11" si="1">E11*0.1/200</f>
        <v>0.1</v>
      </c>
      <c r="J11" s="26">
        <f t="shared" si="1"/>
        <v>0.1</v>
      </c>
      <c r="K11" s="18">
        <f>E11*9.3/200</f>
        <v>9.3000000000000007</v>
      </c>
      <c r="L11" s="26">
        <f>F11*9.3/200</f>
        <v>9.3000000000000007</v>
      </c>
      <c r="M11" s="18">
        <f t="shared" si="0"/>
        <v>38.900000000000006</v>
      </c>
      <c r="N11" s="28">
        <f t="shared" si="0"/>
        <v>38.900000000000006</v>
      </c>
    </row>
    <row r="12" spans="2:26" x14ac:dyDescent="0.25">
      <c r="B12" s="238"/>
      <c r="C12" s="65"/>
      <c r="D12" s="4" t="s">
        <v>99</v>
      </c>
      <c r="E12" s="20">
        <f t="shared" ref="E12:N12" si="2">SUM(E8:E11)</f>
        <v>400</v>
      </c>
      <c r="F12" s="99">
        <f t="shared" si="2"/>
        <v>460</v>
      </c>
      <c r="G12" s="7">
        <f t="shared" si="2"/>
        <v>8.7649999999999988</v>
      </c>
      <c r="H12" s="27">
        <f t="shared" si="2"/>
        <v>11.339999999999998</v>
      </c>
      <c r="I12" s="7">
        <f t="shared" si="2"/>
        <v>12.514999999999999</v>
      </c>
      <c r="J12" s="27">
        <f t="shared" si="2"/>
        <v>14.209999999999999</v>
      </c>
      <c r="K12" s="7">
        <f t="shared" si="2"/>
        <v>55.63000000000001</v>
      </c>
      <c r="L12" s="27">
        <f t="shared" si="2"/>
        <v>69.39</v>
      </c>
      <c r="M12" s="7">
        <f t="shared" si="2"/>
        <v>370.21499999999992</v>
      </c>
      <c r="N12" s="29">
        <f t="shared" si="2"/>
        <v>450.80999999999995</v>
      </c>
    </row>
    <row r="13" spans="2:26" x14ac:dyDescent="0.25">
      <c r="B13" s="238"/>
      <c r="C13" s="204" t="s">
        <v>8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6"/>
    </row>
    <row r="14" spans="2:26" x14ac:dyDescent="0.25">
      <c r="B14" s="238"/>
      <c r="C14" s="45" t="s">
        <v>90</v>
      </c>
      <c r="D14" s="74" t="s">
        <v>91</v>
      </c>
      <c r="E14" s="76">
        <v>250</v>
      </c>
      <c r="F14" s="35">
        <v>250</v>
      </c>
      <c r="G14" s="18">
        <f>E14*1.96/100</f>
        <v>4.9000000000000004</v>
      </c>
      <c r="H14" s="26">
        <f>F14*1.96/100</f>
        <v>4.9000000000000004</v>
      </c>
      <c r="I14" s="18">
        <f>E14*3.06/100</f>
        <v>7.65</v>
      </c>
      <c r="J14" s="26">
        <f>F14*3.06/100</f>
        <v>7.65</v>
      </c>
      <c r="K14" s="18">
        <f>E14*5.44/100</f>
        <v>13.6</v>
      </c>
      <c r="L14" s="26">
        <f>F14*5.44/100</f>
        <v>13.6</v>
      </c>
      <c r="M14" s="19">
        <f t="shared" ref="M14:N18" si="3">G14*4+I14*9+K14*4</f>
        <v>142.85000000000002</v>
      </c>
      <c r="N14" s="33">
        <f t="shared" si="3"/>
        <v>142.85000000000002</v>
      </c>
    </row>
    <row r="15" spans="2:26" x14ac:dyDescent="0.25">
      <c r="B15" s="238"/>
      <c r="C15" s="77" t="s">
        <v>134</v>
      </c>
      <c r="D15" s="8" t="s">
        <v>135</v>
      </c>
      <c r="E15" s="53">
        <v>230</v>
      </c>
      <c r="F15" s="25">
        <v>250</v>
      </c>
      <c r="G15" s="18">
        <f>E15*7.31/100</f>
        <v>16.812999999999999</v>
      </c>
      <c r="H15" s="26">
        <f>F15*7.31/100</f>
        <v>18.274999999999999</v>
      </c>
      <c r="I15" s="53">
        <f>E15*9.9/100</f>
        <v>22.77</v>
      </c>
      <c r="J15" s="26">
        <f>F15*9.9/100</f>
        <v>24.75</v>
      </c>
      <c r="K15" s="18">
        <f>E15*6.27/100</f>
        <v>14.420999999999999</v>
      </c>
      <c r="L15" s="26">
        <f>F15*6.27/100</f>
        <v>15.675000000000001</v>
      </c>
      <c r="M15" s="18">
        <f t="shared" si="3"/>
        <v>329.86599999999999</v>
      </c>
      <c r="N15" s="28">
        <f t="shared" si="3"/>
        <v>358.55</v>
      </c>
    </row>
    <row r="16" spans="2:26" x14ac:dyDescent="0.25">
      <c r="B16" s="238"/>
      <c r="C16" s="77" t="s">
        <v>35</v>
      </c>
      <c r="D16" s="9" t="s">
        <v>36</v>
      </c>
      <c r="E16" s="53">
        <v>200</v>
      </c>
      <c r="F16" s="25">
        <v>200</v>
      </c>
      <c r="G16" s="18">
        <f>E16*0.6/200</f>
        <v>0.6</v>
      </c>
      <c r="H16" s="26">
        <f>F16*0.6/200</f>
        <v>0.6</v>
      </c>
      <c r="I16" s="18">
        <f t="shared" ref="I16:J16" si="4">E16*0.1/200</f>
        <v>0.1</v>
      </c>
      <c r="J16" s="26">
        <f t="shared" si="4"/>
        <v>0.1</v>
      </c>
      <c r="K16" s="18">
        <f>E16*20.1/200</f>
        <v>20.100000000000001</v>
      </c>
      <c r="L16" s="26">
        <f>F16*20.1/200</f>
        <v>20.100000000000001</v>
      </c>
      <c r="M16" s="18">
        <f t="shared" si="3"/>
        <v>83.7</v>
      </c>
      <c r="N16" s="28">
        <f t="shared" si="3"/>
        <v>83.7</v>
      </c>
    </row>
    <row r="17" spans="2:18" x14ac:dyDescent="0.25">
      <c r="B17" s="238"/>
      <c r="C17" s="17" t="s">
        <v>50</v>
      </c>
      <c r="D17" s="6" t="s">
        <v>14</v>
      </c>
      <c r="E17" s="47">
        <v>20</v>
      </c>
      <c r="F17" s="48">
        <v>20</v>
      </c>
      <c r="G17" s="18">
        <f>E17*8/100</f>
        <v>1.6</v>
      </c>
      <c r="H17" s="26">
        <f>F17*8/100</f>
        <v>1.6</v>
      </c>
      <c r="I17" s="18">
        <f>E17*1.5/100</f>
        <v>0.3</v>
      </c>
      <c r="J17" s="26">
        <f>F17*1.5/100</f>
        <v>0.3</v>
      </c>
      <c r="K17" s="18">
        <f>E17*40.1/100</f>
        <v>8.02</v>
      </c>
      <c r="L17" s="26">
        <f>F17*40.1/100</f>
        <v>8.02</v>
      </c>
      <c r="M17" s="18">
        <f t="shared" si="3"/>
        <v>41.18</v>
      </c>
      <c r="N17" s="28">
        <f t="shared" si="3"/>
        <v>41.18</v>
      </c>
    </row>
    <row r="18" spans="2:18" x14ac:dyDescent="0.25">
      <c r="B18" s="238"/>
      <c r="C18" s="17" t="s">
        <v>51</v>
      </c>
      <c r="D18" s="6" t="s">
        <v>52</v>
      </c>
      <c r="E18" s="47">
        <v>50</v>
      </c>
      <c r="F18" s="48">
        <v>50</v>
      </c>
      <c r="G18" s="18">
        <f>E18*7.6/100</f>
        <v>3.8</v>
      </c>
      <c r="H18" s="26">
        <f>F18*7.6/100</f>
        <v>3.8</v>
      </c>
      <c r="I18" s="18">
        <f>E18*0.8/100</f>
        <v>0.4</v>
      </c>
      <c r="J18" s="26">
        <f>F18*0.8/100</f>
        <v>0.4</v>
      </c>
      <c r="K18" s="18">
        <f>E18*49.2/100</f>
        <v>24.6</v>
      </c>
      <c r="L18" s="26">
        <f>F18*49.2/100</f>
        <v>24.6</v>
      </c>
      <c r="M18" s="18">
        <f t="shared" si="3"/>
        <v>117.2</v>
      </c>
      <c r="N18" s="28">
        <f t="shared" si="3"/>
        <v>117.2</v>
      </c>
    </row>
    <row r="19" spans="2:18" x14ac:dyDescent="0.25">
      <c r="B19" s="238"/>
      <c r="C19" s="101"/>
      <c r="D19" s="102" t="s">
        <v>10</v>
      </c>
      <c r="E19" s="103">
        <f t="shared" ref="E19:N19" si="5">SUM(E14:E18)</f>
        <v>750</v>
      </c>
      <c r="F19" s="104">
        <f t="shared" si="5"/>
        <v>770</v>
      </c>
      <c r="G19" s="105">
        <f t="shared" si="5"/>
        <v>27.713000000000005</v>
      </c>
      <c r="H19" s="106">
        <f t="shared" si="5"/>
        <v>29.175000000000001</v>
      </c>
      <c r="I19" s="103">
        <f t="shared" si="5"/>
        <v>31.220000000000002</v>
      </c>
      <c r="J19" s="106">
        <f t="shared" si="5"/>
        <v>33.199999999999996</v>
      </c>
      <c r="K19" s="105">
        <f t="shared" si="5"/>
        <v>80.741000000000014</v>
      </c>
      <c r="L19" s="106">
        <f t="shared" si="5"/>
        <v>81.995000000000005</v>
      </c>
      <c r="M19" s="105">
        <f t="shared" si="5"/>
        <v>714.79600000000005</v>
      </c>
      <c r="N19" s="107">
        <f t="shared" si="5"/>
        <v>743.48</v>
      </c>
    </row>
    <row r="20" spans="2:18" ht="15.75" thickBot="1" x14ac:dyDescent="0.3">
      <c r="B20" s="239"/>
      <c r="C20" s="21"/>
      <c r="D20" s="15" t="s">
        <v>168</v>
      </c>
      <c r="E20" s="57">
        <f>E19+E12</f>
        <v>1150</v>
      </c>
      <c r="F20" s="91">
        <f t="shared" ref="F20:N20" si="6">F19+F12</f>
        <v>1230</v>
      </c>
      <c r="G20" s="16">
        <f t="shared" si="6"/>
        <v>36.478000000000002</v>
      </c>
      <c r="H20" s="32">
        <f t="shared" si="6"/>
        <v>40.515000000000001</v>
      </c>
      <c r="I20" s="16">
        <f t="shared" si="6"/>
        <v>43.734999999999999</v>
      </c>
      <c r="J20" s="32">
        <f t="shared" si="6"/>
        <v>47.41</v>
      </c>
      <c r="K20" s="16">
        <f t="shared" si="6"/>
        <v>136.37100000000004</v>
      </c>
      <c r="L20" s="32">
        <f t="shared" si="6"/>
        <v>151.38499999999999</v>
      </c>
      <c r="M20" s="16">
        <f t="shared" si="6"/>
        <v>1085.011</v>
      </c>
      <c r="N20" s="34">
        <f t="shared" si="6"/>
        <v>1194.29</v>
      </c>
    </row>
    <row r="21" spans="2:18" x14ac:dyDescent="0.25">
      <c r="B21" s="240" t="s">
        <v>104</v>
      </c>
      <c r="C21" s="226" t="s">
        <v>98</v>
      </c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8"/>
    </row>
    <row r="22" spans="2:18" x14ac:dyDescent="0.25">
      <c r="B22" s="241"/>
      <c r="C22" s="77" t="s">
        <v>173</v>
      </c>
      <c r="D22" s="8" t="s">
        <v>174</v>
      </c>
      <c r="E22" s="53">
        <v>150</v>
      </c>
      <c r="F22" s="108">
        <v>160</v>
      </c>
      <c r="G22" s="18">
        <f>E22*3.03/100</f>
        <v>4.544999999999999</v>
      </c>
      <c r="H22" s="26">
        <f>F22*3.03/100</f>
        <v>4.8479999999999999</v>
      </c>
      <c r="I22" s="18">
        <f>E22*3.21/100</f>
        <v>4.8150000000000004</v>
      </c>
      <c r="J22" s="26">
        <f>F22*3.21/100</f>
        <v>5.1360000000000001</v>
      </c>
      <c r="K22" s="18">
        <f>E22*15.23/100</f>
        <v>22.844999999999999</v>
      </c>
      <c r="L22" s="26">
        <f>F22*15.23/100</f>
        <v>24.368000000000002</v>
      </c>
      <c r="M22" s="18">
        <f t="shared" ref="M22:N25" si="7">G22*4+I22*9+K22*4</f>
        <v>152.89499999999998</v>
      </c>
      <c r="N22" s="28">
        <f t="shared" si="7"/>
        <v>163.08800000000002</v>
      </c>
    </row>
    <row r="23" spans="2:18" x14ac:dyDescent="0.25">
      <c r="B23" s="241"/>
      <c r="C23" s="17" t="s">
        <v>51</v>
      </c>
      <c r="D23" s="6" t="s">
        <v>52</v>
      </c>
      <c r="E23" s="47">
        <v>40</v>
      </c>
      <c r="F23" s="48">
        <v>50</v>
      </c>
      <c r="G23" s="18">
        <f>E23*7.6/100</f>
        <v>3.04</v>
      </c>
      <c r="H23" s="26">
        <f>F23*7.6/100</f>
        <v>3.8</v>
      </c>
      <c r="I23" s="18">
        <f>E23*0.8/100</f>
        <v>0.32</v>
      </c>
      <c r="J23" s="26">
        <f>F23*0.8/100</f>
        <v>0.4</v>
      </c>
      <c r="K23" s="18">
        <f>E23*49.2/100</f>
        <v>19.68</v>
      </c>
      <c r="L23" s="26">
        <f>F23*49.2/100</f>
        <v>24.6</v>
      </c>
      <c r="M23" s="18">
        <f t="shared" si="7"/>
        <v>93.759999999999991</v>
      </c>
      <c r="N23" s="28">
        <f t="shared" si="7"/>
        <v>117.2</v>
      </c>
    </row>
    <row r="24" spans="2:18" x14ac:dyDescent="0.25">
      <c r="B24" s="241"/>
      <c r="C24" s="93" t="s">
        <v>166</v>
      </c>
      <c r="D24" s="94" t="s">
        <v>167</v>
      </c>
      <c r="E24" s="53">
        <v>10</v>
      </c>
      <c r="F24" s="95">
        <v>10</v>
      </c>
      <c r="G24" s="18">
        <f>E24*23.2/100</f>
        <v>2.3199999999999998</v>
      </c>
      <c r="H24" s="26">
        <f>F24*23.2/100</f>
        <v>2.3199999999999998</v>
      </c>
      <c r="I24" s="18">
        <f>E24*29.5/100</f>
        <v>2.95</v>
      </c>
      <c r="J24" s="26">
        <f>F24*29.5/100</f>
        <v>2.95</v>
      </c>
      <c r="K24" s="18">
        <f>E24*0/100</f>
        <v>0</v>
      </c>
      <c r="L24" s="26">
        <f>F24*0/100</f>
        <v>0</v>
      </c>
      <c r="M24" s="18">
        <f t="shared" si="7"/>
        <v>35.83</v>
      </c>
      <c r="N24" s="28">
        <f t="shared" si="7"/>
        <v>35.83</v>
      </c>
    </row>
    <row r="25" spans="2:18" x14ac:dyDescent="0.25">
      <c r="B25" s="241"/>
      <c r="C25" s="77" t="s">
        <v>34</v>
      </c>
      <c r="D25" s="9" t="s">
        <v>94</v>
      </c>
      <c r="E25" s="53">
        <v>200</v>
      </c>
      <c r="F25" s="25">
        <v>200</v>
      </c>
      <c r="G25" s="18">
        <f>E25*0.2/200</f>
        <v>0.2</v>
      </c>
      <c r="H25" s="26">
        <f>F25*0.2/200</f>
        <v>0.2</v>
      </c>
      <c r="I25" s="18">
        <f t="shared" ref="I25" si="8">E25*0.1/200</f>
        <v>0.1</v>
      </c>
      <c r="J25" s="26">
        <f t="shared" ref="J25" si="9">F25*0.1/200</f>
        <v>0.1</v>
      </c>
      <c r="K25" s="18">
        <f>E25*9.3/200</f>
        <v>9.3000000000000007</v>
      </c>
      <c r="L25" s="26">
        <f>F25*9.3/200</f>
        <v>9.3000000000000007</v>
      </c>
      <c r="M25" s="18">
        <f t="shared" si="7"/>
        <v>38.900000000000006</v>
      </c>
      <c r="N25" s="28">
        <f t="shared" si="7"/>
        <v>38.900000000000006</v>
      </c>
    </row>
    <row r="26" spans="2:18" x14ac:dyDescent="0.25">
      <c r="B26" s="241"/>
      <c r="C26" s="65"/>
      <c r="D26" s="4" t="s">
        <v>99</v>
      </c>
      <c r="E26" s="20">
        <f t="shared" ref="E26:N26" si="10">SUM(E22:E25)</f>
        <v>400</v>
      </c>
      <c r="F26" s="99">
        <f t="shared" si="10"/>
        <v>420</v>
      </c>
      <c r="G26" s="7">
        <f t="shared" si="10"/>
        <v>10.104999999999999</v>
      </c>
      <c r="H26" s="27">
        <f t="shared" si="10"/>
        <v>11.167999999999999</v>
      </c>
      <c r="I26" s="7">
        <f t="shared" si="10"/>
        <v>8.1850000000000005</v>
      </c>
      <c r="J26" s="27">
        <f t="shared" si="10"/>
        <v>8.5860000000000003</v>
      </c>
      <c r="K26" s="7">
        <f t="shared" si="10"/>
        <v>51.825000000000003</v>
      </c>
      <c r="L26" s="27">
        <f t="shared" si="10"/>
        <v>58.268000000000001</v>
      </c>
      <c r="M26" s="7">
        <f t="shared" si="10"/>
        <v>321.38499999999999</v>
      </c>
      <c r="N26" s="29">
        <f t="shared" si="10"/>
        <v>355.01800000000003</v>
      </c>
    </row>
    <row r="27" spans="2:18" x14ac:dyDescent="0.25">
      <c r="B27" s="241"/>
      <c r="C27" s="204" t="s">
        <v>8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6"/>
    </row>
    <row r="28" spans="2:18" x14ac:dyDescent="0.25">
      <c r="B28" s="241"/>
      <c r="C28" s="45" t="s">
        <v>136</v>
      </c>
      <c r="D28" s="74" t="s">
        <v>137</v>
      </c>
      <c r="E28" s="76">
        <v>200</v>
      </c>
      <c r="F28" s="35">
        <v>250</v>
      </c>
      <c r="G28" s="18">
        <f>E28*1.98/100</f>
        <v>3.96</v>
      </c>
      <c r="H28" s="26">
        <f>F28*1.98/100</f>
        <v>4.95</v>
      </c>
      <c r="I28" s="18">
        <f>E28*2.71/100</f>
        <v>5.42</v>
      </c>
      <c r="J28" s="26">
        <f>F28*2.71/100</f>
        <v>6.7750000000000004</v>
      </c>
      <c r="K28" s="18">
        <f>E28*5.71/100</f>
        <v>11.42</v>
      </c>
      <c r="L28" s="26">
        <f>F28*5.71/100</f>
        <v>14.275</v>
      </c>
      <c r="M28" s="19">
        <f t="shared" ref="M28:N31" si="11">G28*4+I28*9+K28*4</f>
        <v>110.30000000000001</v>
      </c>
      <c r="N28" s="33">
        <f t="shared" si="11"/>
        <v>137.875</v>
      </c>
    </row>
    <row r="29" spans="2:18" x14ac:dyDescent="0.25">
      <c r="B29" s="241"/>
      <c r="C29" s="77" t="s">
        <v>84</v>
      </c>
      <c r="D29" s="9" t="s">
        <v>85</v>
      </c>
      <c r="E29" s="53">
        <v>90</v>
      </c>
      <c r="F29" s="25">
        <v>100</v>
      </c>
      <c r="G29" s="18">
        <f>E29*13.5/100</f>
        <v>12.15</v>
      </c>
      <c r="H29" s="26">
        <f>F29*13.5/100</f>
        <v>13.5</v>
      </c>
      <c r="I29" s="18">
        <f>E29*21/100</f>
        <v>18.899999999999999</v>
      </c>
      <c r="J29" s="26">
        <f>F29*21/100</f>
        <v>21</v>
      </c>
      <c r="K29" s="18">
        <f>E29*9.9/100</f>
        <v>8.91</v>
      </c>
      <c r="L29" s="26">
        <f>F29*9.9/100</f>
        <v>9.9</v>
      </c>
      <c r="M29" s="18">
        <f t="shared" si="11"/>
        <v>254.33999999999997</v>
      </c>
      <c r="N29" s="28">
        <f t="shared" si="11"/>
        <v>282.60000000000002</v>
      </c>
    </row>
    <row r="30" spans="2:18" x14ac:dyDescent="0.25">
      <c r="B30" s="241"/>
      <c r="C30" s="17" t="s">
        <v>69</v>
      </c>
      <c r="D30" s="6" t="s">
        <v>70</v>
      </c>
      <c r="E30" s="53">
        <v>150</v>
      </c>
      <c r="F30" s="25">
        <v>180</v>
      </c>
      <c r="G30" s="18">
        <f>E30*2.1/100</f>
        <v>3.15</v>
      </c>
      <c r="H30" s="26">
        <f>F30*2.1/100</f>
        <v>3.78</v>
      </c>
      <c r="I30" s="18">
        <f>E30*6.4/100</f>
        <v>9.6</v>
      </c>
      <c r="J30" s="26">
        <f>F30*6.4/100</f>
        <v>11.52</v>
      </c>
      <c r="K30" s="18">
        <f>E30*18.5/100</f>
        <v>27.75</v>
      </c>
      <c r="L30" s="26">
        <f>F30*18.5/100</f>
        <v>33.299999999999997</v>
      </c>
      <c r="M30" s="18">
        <f>G30*4+I30*9+K30*4</f>
        <v>210</v>
      </c>
      <c r="N30" s="28">
        <f t="shared" si="11"/>
        <v>252</v>
      </c>
    </row>
    <row r="31" spans="2:18" x14ac:dyDescent="0.25">
      <c r="B31" s="241"/>
      <c r="C31" s="77" t="s">
        <v>35</v>
      </c>
      <c r="D31" s="9" t="s">
        <v>36</v>
      </c>
      <c r="E31" s="53">
        <v>200</v>
      </c>
      <c r="F31" s="25">
        <v>200</v>
      </c>
      <c r="G31" s="18">
        <f>E31*0.6/200</f>
        <v>0.6</v>
      </c>
      <c r="H31" s="26">
        <f>F31*0.6/200</f>
        <v>0.6</v>
      </c>
      <c r="I31" s="18">
        <f t="shared" ref="I31" si="12">E31*0.1/200</f>
        <v>0.1</v>
      </c>
      <c r="J31" s="26">
        <f t="shared" ref="J31" si="13">F31*0.1/200</f>
        <v>0.1</v>
      </c>
      <c r="K31" s="18">
        <f>E31*20.1/200</f>
        <v>20.100000000000001</v>
      </c>
      <c r="L31" s="26">
        <f>F31*20.1/200</f>
        <v>20.100000000000001</v>
      </c>
      <c r="M31" s="18">
        <f t="shared" ref="M31" si="14">G31*4+I31*9+K31*4</f>
        <v>83.7</v>
      </c>
      <c r="N31" s="28">
        <f t="shared" si="11"/>
        <v>83.7</v>
      </c>
      <c r="R31" s="14" t="s">
        <v>15</v>
      </c>
    </row>
    <row r="32" spans="2:18" x14ac:dyDescent="0.25">
      <c r="B32" s="241"/>
      <c r="C32" s="17" t="s">
        <v>50</v>
      </c>
      <c r="D32" s="6" t="s">
        <v>14</v>
      </c>
      <c r="E32" s="47">
        <v>20</v>
      </c>
      <c r="F32" s="48">
        <v>20</v>
      </c>
      <c r="G32" s="18">
        <f>E32*8/100</f>
        <v>1.6</v>
      </c>
      <c r="H32" s="26">
        <f>F32*8/100</f>
        <v>1.6</v>
      </c>
      <c r="I32" s="18">
        <f>E32*1.5/100</f>
        <v>0.3</v>
      </c>
      <c r="J32" s="26">
        <f>F32*1.5/100</f>
        <v>0.3</v>
      </c>
      <c r="K32" s="18">
        <f>E32*40.1/100</f>
        <v>8.02</v>
      </c>
      <c r="L32" s="26">
        <f>F32*40.1/100</f>
        <v>8.02</v>
      </c>
      <c r="M32" s="18">
        <f t="shared" ref="M32:N33" si="15">G32*4+I32*9+K32*4</f>
        <v>41.18</v>
      </c>
      <c r="N32" s="28">
        <f t="shared" si="15"/>
        <v>41.18</v>
      </c>
    </row>
    <row r="33" spans="2:14" x14ac:dyDescent="0.25">
      <c r="B33" s="241"/>
      <c r="C33" s="17" t="s">
        <v>51</v>
      </c>
      <c r="D33" s="6" t="s">
        <v>52</v>
      </c>
      <c r="E33" s="47">
        <v>40</v>
      </c>
      <c r="F33" s="48">
        <v>40</v>
      </c>
      <c r="G33" s="18">
        <f>E33*7.6/100</f>
        <v>3.04</v>
      </c>
      <c r="H33" s="26">
        <f>F33*7.6/100</f>
        <v>3.04</v>
      </c>
      <c r="I33" s="18">
        <f>E33*0.8/100</f>
        <v>0.32</v>
      </c>
      <c r="J33" s="26">
        <f>F33*0.8/100</f>
        <v>0.32</v>
      </c>
      <c r="K33" s="18">
        <f>E33*49.2/100</f>
        <v>19.68</v>
      </c>
      <c r="L33" s="26">
        <f>F33*49.2/100</f>
        <v>19.68</v>
      </c>
      <c r="M33" s="18">
        <f t="shared" si="15"/>
        <v>93.759999999999991</v>
      </c>
      <c r="N33" s="28">
        <f t="shared" si="15"/>
        <v>93.759999999999991</v>
      </c>
    </row>
    <row r="34" spans="2:14" x14ac:dyDescent="0.25">
      <c r="B34" s="241"/>
      <c r="C34" s="17"/>
      <c r="D34" s="4" t="s">
        <v>10</v>
      </c>
      <c r="E34" s="20">
        <f t="shared" ref="E34:N34" si="16">SUM(E28:E33)</f>
        <v>700</v>
      </c>
      <c r="F34" s="31">
        <f t="shared" si="16"/>
        <v>790</v>
      </c>
      <c r="G34" s="7">
        <f t="shared" si="16"/>
        <v>24.5</v>
      </c>
      <c r="H34" s="27">
        <f t="shared" si="16"/>
        <v>27.470000000000002</v>
      </c>
      <c r="I34" s="20">
        <f t="shared" si="16"/>
        <v>34.64</v>
      </c>
      <c r="J34" s="27">
        <f t="shared" si="16"/>
        <v>40.015000000000001</v>
      </c>
      <c r="K34" s="7">
        <f t="shared" si="16"/>
        <v>95.88</v>
      </c>
      <c r="L34" s="27">
        <f t="shared" si="16"/>
        <v>105.27499999999998</v>
      </c>
      <c r="M34" s="7">
        <f t="shared" si="16"/>
        <v>793.28</v>
      </c>
      <c r="N34" s="29">
        <f t="shared" si="16"/>
        <v>891.11500000000001</v>
      </c>
    </row>
    <row r="35" spans="2:14" ht="15.75" thickBot="1" x14ac:dyDescent="0.3">
      <c r="B35" s="242"/>
      <c r="C35" s="109"/>
      <c r="D35" s="110" t="s">
        <v>168</v>
      </c>
      <c r="E35" s="111">
        <f>E34+E26</f>
        <v>1100</v>
      </c>
      <c r="F35" s="112">
        <f t="shared" ref="F35:N35" si="17">F34+F26</f>
        <v>1210</v>
      </c>
      <c r="G35" s="113">
        <f t="shared" si="17"/>
        <v>34.604999999999997</v>
      </c>
      <c r="H35" s="114">
        <f t="shared" si="17"/>
        <v>38.638000000000005</v>
      </c>
      <c r="I35" s="113">
        <f t="shared" si="17"/>
        <v>42.825000000000003</v>
      </c>
      <c r="J35" s="114">
        <f>J34+J26</f>
        <v>48.600999999999999</v>
      </c>
      <c r="K35" s="113">
        <f t="shared" si="17"/>
        <v>147.70499999999998</v>
      </c>
      <c r="L35" s="114">
        <f t="shared" si="17"/>
        <v>163.54299999999998</v>
      </c>
      <c r="M35" s="113">
        <f>M34+M26</f>
        <v>1114.665</v>
      </c>
      <c r="N35" s="115">
        <f t="shared" si="17"/>
        <v>1246.133</v>
      </c>
    </row>
  </sheetData>
  <mergeCells count="15">
    <mergeCell ref="M4:N5"/>
    <mergeCell ref="G5:H5"/>
    <mergeCell ref="I5:J5"/>
    <mergeCell ref="K5:L5"/>
    <mergeCell ref="B4:B6"/>
    <mergeCell ref="C4:C6"/>
    <mergeCell ref="D4:D6"/>
    <mergeCell ref="E4:F5"/>
    <mergeCell ref="G4:L4"/>
    <mergeCell ref="C21:N21"/>
    <mergeCell ref="B7:B20"/>
    <mergeCell ref="B21:B35"/>
    <mergeCell ref="C27:N27"/>
    <mergeCell ref="C7:N7"/>
    <mergeCell ref="C13:N13"/>
  </mergeCells>
  <pageMargins left="0.23622047244094491" right="0.23622047244094491" top="0.19685039370078741" bottom="0.19685039370078741" header="0.31496062992125984" footer="0.31496062992125984"/>
  <pageSetup paperSize="9" scale="70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3:Z50"/>
  <sheetViews>
    <sheetView zoomScale="90" zoomScaleNormal="90" zoomScalePageLayoutView="90" workbookViewId="0">
      <selection activeCell="J17" sqref="J17"/>
    </sheetView>
  </sheetViews>
  <sheetFormatPr defaultRowHeight="15" x14ac:dyDescent="0.25"/>
  <cols>
    <col min="1" max="1" width="6.42578125" style="14" customWidth="1"/>
    <col min="2" max="2" width="2.7109375" style="14" customWidth="1"/>
    <col min="3" max="3" width="10.5703125" style="14" customWidth="1"/>
    <col min="4" max="4" width="38.85546875" style="14" customWidth="1"/>
    <col min="5" max="6" width="7.28515625" style="14" customWidth="1"/>
    <col min="7" max="7" width="6.7109375" style="14" customWidth="1"/>
    <col min="8" max="8" width="6.85546875" style="14" customWidth="1"/>
    <col min="9" max="9" width="6.42578125" style="14" customWidth="1"/>
    <col min="10" max="10" width="6.5703125" style="14" customWidth="1"/>
    <col min="11" max="11" width="7.5703125" style="14" customWidth="1"/>
    <col min="12" max="12" width="7.42578125" style="14" customWidth="1"/>
    <col min="13" max="13" width="8.5703125" style="14" customWidth="1"/>
    <col min="14" max="14" width="9.5703125" style="14" customWidth="1"/>
    <col min="15" max="15" width="9" style="14" customWidth="1"/>
    <col min="16" max="16" width="7.28515625" style="14" customWidth="1"/>
    <col min="17" max="20" width="9.140625" style="14"/>
    <col min="21" max="21" width="7.28515625" style="14" customWidth="1"/>
    <col min="22" max="22" width="7.7109375" style="14" customWidth="1"/>
    <col min="23" max="23" width="9.140625" style="14"/>
    <col min="24" max="24" width="7.7109375" style="14" customWidth="1"/>
    <col min="25" max="16384" width="9.140625" style="14"/>
  </cols>
  <sheetData>
    <row r="3" spans="2:26" ht="15.75" thickBot="1" x14ac:dyDescent="0.3"/>
    <row r="4" spans="2:26" ht="15" customHeight="1" x14ac:dyDescent="0.25">
      <c r="B4" s="212" t="s">
        <v>28</v>
      </c>
      <c r="C4" s="215" t="s">
        <v>0</v>
      </c>
      <c r="D4" s="218" t="s">
        <v>1</v>
      </c>
      <c r="E4" s="221" t="s">
        <v>6</v>
      </c>
      <c r="F4" s="222"/>
      <c r="G4" s="225" t="s">
        <v>7</v>
      </c>
      <c r="H4" s="225"/>
      <c r="I4" s="225"/>
      <c r="J4" s="225"/>
      <c r="K4" s="225"/>
      <c r="L4" s="225"/>
      <c r="M4" s="229" t="s">
        <v>5</v>
      </c>
      <c r="N4" s="230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x14ac:dyDescent="0.25">
      <c r="B5" s="213"/>
      <c r="C5" s="216"/>
      <c r="D5" s="219"/>
      <c r="E5" s="223"/>
      <c r="F5" s="224"/>
      <c r="G5" s="233" t="s">
        <v>3</v>
      </c>
      <c r="H5" s="233"/>
      <c r="I5" s="231" t="s">
        <v>2</v>
      </c>
      <c r="J5" s="231"/>
      <c r="K5" s="233" t="s">
        <v>4</v>
      </c>
      <c r="L5" s="233"/>
      <c r="M5" s="231"/>
      <c r="N5" s="232"/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27.75" customHeight="1" thickBot="1" x14ac:dyDescent="0.3">
      <c r="B6" s="214"/>
      <c r="C6" s="217"/>
      <c r="D6" s="220"/>
      <c r="E6" s="22" t="s">
        <v>11</v>
      </c>
      <c r="F6" s="23" t="s">
        <v>33</v>
      </c>
      <c r="G6" s="22" t="s">
        <v>11</v>
      </c>
      <c r="H6" s="23" t="s">
        <v>33</v>
      </c>
      <c r="I6" s="22" t="s">
        <v>11</v>
      </c>
      <c r="J6" s="23" t="s">
        <v>33</v>
      </c>
      <c r="K6" s="22" t="s">
        <v>11</v>
      </c>
      <c r="L6" s="23" t="s">
        <v>33</v>
      </c>
      <c r="M6" s="22" t="s">
        <v>11</v>
      </c>
      <c r="N6" s="24" t="s">
        <v>33</v>
      </c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ht="15" customHeight="1" x14ac:dyDescent="0.25">
      <c r="B7" s="240" t="s">
        <v>105</v>
      </c>
      <c r="C7" s="226" t="s">
        <v>98</v>
      </c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8"/>
    </row>
    <row r="8" spans="2:26" ht="15" customHeight="1" x14ac:dyDescent="0.25">
      <c r="B8" s="241"/>
      <c r="C8" s="17" t="s">
        <v>186</v>
      </c>
      <c r="D8" s="8" t="s">
        <v>155</v>
      </c>
      <c r="E8" s="53">
        <v>150</v>
      </c>
      <c r="F8" s="108">
        <v>200</v>
      </c>
      <c r="G8" s="18">
        <f>E8*4.35/100</f>
        <v>6.5250000000000004</v>
      </c>
      <c r="H8" s="26">
        <f>F8*4.35/100</f>
        <v>8.6999999999999993</v>
      </c>
      <c r="I8" s="18">
        <f>E8*3.74/100</f>
        <v>5.61</v>
      </c>
      <c r="J8" s="26">
        <f>F8*3.74/100</f>
        <v>7.48</v>
      </c>
      <c r="K8" s="18">
        <f>E8*15.7/100</f>
        <v>23.55</v>
      </c>
      <c r="L8" s="26">
        <f>F8*15.7/100</f>
        <v>31.4</v>
      </c>
      <c r="M8" s="18">
        <f t="shared" ref="M8:N8" si="0">G8*4+I8*9+K8*4</f>
        <v>170.79000000000002</v>
      </c>
      <c r="N8" s="28">
        <f t="shared" si="0"/>
        <v>227.72</v>
      </c>
    </row>
    <row r="9" spans="2:26" ht="15" customHeight="1" x14ac:dyDescent="0.25">
      <c r="B9" s="241"/>
      <c r="C9" s="17" t="s">
        <v>51</v>
      </c>
      <c r="D9" s="6" t="s">
        <v>52</v>
      </c>
      <c r="E9" s="47">
        <v>40</v>
      </c>
      <c r="F9" s="48">
        <v>40</v>
      </c>
      <c r="G9" s="18">
        <f>E9*7.6/100</f>
        <v>3.04</v>
      </c>
      <c r="H9" s="26">
        <f>F9*7.6/100</f>
        <v>3.04</v>
      </c>
      <c r="I9" s="18">
        <f>E9*0.8/100</f>
        <v>0.32</v>
      </c>
      <c r="J9" s="26">
        <f>F9*0.8/100</f>
        <v>0.32</v>
      </c>
      <c r="K9" s="18">
        <f>E9*49.2/100</f>
        <v>19.68</v>
      </c>
      <c r="L9" s="26">
        <f>F9*49.2/100</f>
        <v>19.68</v>
      </c>
      <c r="M9" s="18">
        <f t="shared" ref="M9:N11" si="1">G9*4+I9*9+K9*4</f>
        <v>93.759999999999991</v>
      </c>
      <c r="N9" s="28">
        <f t="shared" si="1"/>
        <v>93.759999999999991</v>
      </c>
    </row>
    <row r="10" spans="2:26" ht="15" customHeight="1" x14ac:dyDescent="0.25">
      <c r="B10" s="241"/>
      <c r="C10" s="93" t="s">
        <v>166</v>
      </c>
      <c r="D10" s="94" t="s">
        <v>167</v>
      </c>
      <c r="E10" s="53">
        <v>10</v>
      </c>
      <c r="F10" s="95">
        <v>10</v>
      </c>
      <c r="G10" s="18">
        <f>E10*23.2/100</f>
        <v>2.3199999999999998</v>
      </c>
      <c r="H10" s="26">
        <f>F10*23.2/100</f>
        <v>2.3199999999999998</v>
      </c>
      <c r="I10" s="18">
        <f>E10*29.5/100</f>
        <v>2.95</v>
      </c>
      <c r="J10" s="26">
        <f>F10*29.5/100</f>
        <v>2.95</v>
      </c>
      <c r="K10" s="18">
        <f>E10*0/100</f>
        <v>0</v>
      </c>
      <c r="L10" s="26">
        <f>F10*0/100</f>
        <v>0</v>
      </c>
      <c r="M10" s="18">
        <f t="shared" si="1"/>
        <v>35.83</v>
      </c>
      <c r="N10" s="28">
        <f t="shared" si="1"/>
        <v>35.83</v>
      </c>
    </row>
    <row r="11" spans="2:26" ht="15" customHeight="1" x14ac:dyDescent="0.25">
      <c r="B11" s="241"/>
      <c r="C11" s="77" t="s">
        <v>34</v>
      </c>
      <c r="D11" s="9" t="s">
        <v>94</v>
      </c>
      <c r="E11" s="53">
        <v>200</v>
      </c>
      <c r="F11" s="25">
        <v>200</v>
      </c>
      <c r="G11" s="18">
        <f>E11*0.2/200</f>
        <v>0.2</v>
      </c>
      <c r="H11" s="26">
        <f>F11*0.2/200</f>
        <v>0.2</v>
      </c>
      <c r="I11" s="18">
        <f t="shared" ref="I11:J11" si="2">E11*0.1/200</f>
        <v>0.1</v>
      </c>
      <c r="J11" s="26">
        <f t="shared" si="2"/>
        <v>0.1</v>
      </c>
      <c r="K11" s="18">
        <f>E11*9.3/200</f>
        <v>9.3000000000000007</v>
      </c>
      <c r="L11" s="26">
        <f>F11*9.3/200</f>
        <v>9.3000000000000007</v>
      </c>
      <c r="M11" s="18">
        <f t="shared" si="1"/>
        <v>38.900000000000006</v>
      </c>
      <c r="N11" s="28">
        <f t="shared" si="1"/>
        <v>38.900000000000006</v>
      </c>
    </row>
    <row r="12" spans="2:26" ht="15" customHeight="1" x14ac:dyDescent="0.25">
      <c r="B12" s="241"/>
      <c r="C12" s="17"/>
      <c r="D12" s="4" t="s">
        <v>99</v>
      </c>
      <c r="E12" s="64">
        <f t="shared" ref="E12:N12" si="3">SUM(E8:E11)</f>
        <v>400</v>
      </c>
      <c r="F12" s="98">
        <f t="shared" si="3"/>
        <v>450</v>
      </c>
      <c r="G12" s="7">
        <f t="shared" si="3"/>
        <v>12.085000000000001</v>
      </c>
      <c r="H12" s="27">
        <f t="shared" si="3"/>
        <v>14.259999999999998</v>
      </c>
      <c r="I12" s="7">
        <f t="shared" si="3"/>
        <v>8.98</v>
      </c>
      <c r="J12" s="27">
        <f t="shared" si="3"/>
        <v>10.85</v>
      </c>
      <c r="K12" s="7">
        <f t="shared" si="3"/>
        <v>52.53</v>
      </c>
      <c r="L12" s="27">
        <f t="shared" si="3"/>
        <v>60.379999999999995</v>
      </c>
      <c r="M12" s="7">
        <f t="shared" si="3"/>
        <v>339.28</v>
      </c>
      <c r="N12" s="29">
        <f t="shared" si="3"/>
        <v>396.21000000000004</v>
      </c>
    </row>
    <row r="13" spans="2:26" x14ac:dyDescent="0.25">
      <c r="B13" s="241"/>
      <c r="C13" s="204" t="s">
        <v>8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6"/>
    </row>
    <row r="14" spans="2:26" x14ac:dyDescent="0.25">
      <c r="B14" s="241"/>
      <c r="C14" s="77" t="s">
        <v>142</v>
      </c>
      <c r="D14" s="72" t="s">
        <v>143</v>
      </c>
      <c r="E14" s="76">
        <v>200</v>
      </c>
      <c r="F14" s="35">
        <v>250</v>
      </c>
      <c r="G14" s="19">
        <f>E14*2.12/100</f>
        <v>4.24</v>
      </c>
      <c r="H14" s="36">
        <f>F14*2.12/100</f>
        <v>5.3</v>
      </c>
      <c r="I14" s="19">
        <f>E14*2.78/100</f>
        <v>5.56</v>
      </c>
      <c r="J14" s="36">
        <f>F14*2.78/100</f>
        <v>6.95</v>
      </c>
      <c r="K14" s="19">
        <f>E14*7.5/100</f>
        <v>15</v>
      </c>
      <c r="L14" s="36">
        <f>F14*7.5/100</f>
        <v>18.75</v>
      </c>
      <c r="M14" s="19">
        <f t="shared" ref="M14:N17" si="4">G14*4+I14*9+K14*4</f>
        <v>127</v>
      </c>
      <c r="N14" s="33">
        <f t="shared" si="4"/>
        <v>158.75</v>
      </c>
    </row>
    <row r="15" spans="2:26" x14ac:dyDescent="0.25">
      <c r="B15" s="241"/>
      <c r="C15" s="100" t="s">
        <v>145</v>
      </c>
      <c r="D15" s="92" t="s">
        <v>146</v>
      </c>
      <c r="E15" s="53">
        <v>90</v>
      </c>
      <c r="F15" s="25">
        <v>100</v>
      </c>
      <c r="G15" s="18">
        <f>E15*15.9/100</f>
        <v>14.31</v>
      </c>
      <c r="H15" s="26">
        <f>F15*15.9/100</f>
        <v>15.9</v>
      </c>
      <c r="I15" s="18">
        <f>E15*14.4/100</f>
        <v>12.96</v>
      </c>
      <c r="J15" s="26">
        <f>F15*14.4/100</f>
        <v>14.4</v>
      </c>
      <c r="K15" s="18">
        <f>E15*16/100</f>
        <v>14.4</v>
      </c>
      <c r="L15" s="26">
        <f>F15*16/100</f>
        <v>16</v>
      </c>
      <c r="M15" s="18">
        <f t="shared" si="4"/>
        <v>231.48000000000002</v>
      </c>
      <c r="N15" s="28">
        <f t="shared" si="4"/>
        <v>257.2</v>
      </c>
    </row>
    <row r="16" spans="2:26" x14ac:dyDescent="0.25">
      <c r="B16" s="241"/>
      <c r="C16" s="17" t="s">
        <v>149</v>
      </c>
      <c r="D16" s="6" t="s">
        <v>150</v>
      </c>
      <c r="E16" s="53">
        <v>150</v>
      </c>
      <c r="F16" s="25">
        <v>180</v>
      </c>
      <c r="G16" s="18">
        <f>E16*3/100</f>
        <v>4.5</v>
      </c>
      <c r="H16" s="26">
        <f>F16*3/100</f>
        <v>5.4</v>
      </c>
      <c r="I16" s="18">
        <f>E16*4.1/100</f>
        <v>6.15</v>
      </c>
      <c r="J16" s="26">
        <f>F16*4.1/100</f>
        <v>7.379999999999999</v>
      </c>
      <c r="K16" s="18">
        <f>E16*16.6/100</f>
        <v>24.9</v>
      </c>
      <c r="L16" s="26">
        <f>F16*16.6/100</f>
        <v>29.880000000000006</v>
      </c>
      <c r="M16" s="18">
        <f t="shared" si="4"/>
        <v>172.95</v>
      </c>
      <c r="N16" s="28">
        <f t="shared" si="4"/>
        <v>207.54000000000002</v>
      </c>
    </row>
    <row r="17" spans="2:16" x14ac:dyDescent="0.25">
      <c r="B17" s="241"/>
      <c r="C17" s="77" t="s">
        <v>35</v>
      </c>
      <c r="D17" s="9" t="s">
        <v>36</v>
      </c>
      <c r="E17" s="53">
        <v>200</v>
      </c>
      <c r="F17" s="25">
        <v>200</v>
      </c>
      <c r="G17" s="18">
        <f>E17*0.6/200</f>
        <v>0.6</v>
      </c>
      <c r="H17" s="26">
        <f>F17*0.6/200</f>
        <v>0.6</v>
      </c>
      <c r="I17" s="18">
        <f t="shared" ref="I17" si="5">E17*0.1/200</f>
        <v>0.1</v>
      </c>
      <c r="J17" s="26">
        <f t="shared" ref="J17" si="6">F17*0.1/200</f>
        <v>0.1</v>
      </c>
      <c r="K17" s="18">
        <f>E17*20.1/200</f>
        <v>20.100000000000001</v>
      </c>
      <c r="L17" s="26">
        <f>F17*20.1/200</f>
        <v>20.100000000000001</v>
      </c>
      <c r="M17" s="18">
        <f t="shared" si="4"/>
        <v>83.7</v>
      </c>
      <c r="N17" s="28">
        <f t="shared" si="4"/>
        <v>83.7</v>
      </c>
    </row>
    <row r="18" spans="2:16" x14ac:dyDescent="0.25">
      <c r="B18" s="241"/>
      <c r="C18" s="17" t="s">
        <v>50</v>
      </c>
      <c r="D18" s="6" t="s">
        <v>14</v>
      </c>
      <c r="E18" s="47">
        <v>20</v>
      </c>
      <c r="F18" s="48">
        <v>20</v>
      </c>
      <c r="G18" s="18">
        <f>E18*8/100</f>
        <v>1.6</v>
      </c>
      <c r="H18" s="26">
        <f>F18*8/100</f>
        <v>1.6</v>
      </c>
      <c r="I18" s="18">
        <f>E18*1.5/100</f>
        <v>0.3</v>
      </c>
      <c r="J18" s="26">
        <f>F18*1.5/100</f>
        <v>0.3</v>
      </c>
      <c r="K18" s="18">
        <f>E18*40.1/100</f>
        <v>8.02</v>
      </c>
      <c r="L18" s="26">
        <f>F18*40.1/100</f>
        <v>8.02</v>
      </c>
      <c r="M18" s="18">
        <f t="shared" ref="M18:N19" si="7">G18*4+I18*9+K18*4</f>
        <v>41.18</v>
      </c>
      <c r="N18" s="28">
        <f t="shared" si="7"/>
        <v>41.18</v>
      </c>
    </row>
    <row r="19" spans="2:16" x14ac:dyDescent="0.25">
      <c r="B19" s="241"/>
      <c r="C19" s="17" t="s">
        <v>51</v>
      </c>
      <c r="D19" s="6" t="s">
        <v>52</v>
      </c>
      <c r="E19" s="47">
        <v>40</v>
      </c>
      <c r="F19" s="48">
        <v>40</v>
      </c>
      <c r="G19" s="18">
        <f>E19*7.6/100</f>
        <v>3.04</v>
      </c>
      <c r="H19" s="26">
        <f>F19*7.6/100</f>
        <v>3.04</v>
      </c>
      <c r="I19" s="18">
        <f>E19*0.8/100</f>
        <v>0.32</v>
      </c>
      <c r="J19" s="26">
        <f>F19*0.8/100</f>
        <v>0.32</v>
      </c>
      <c r="K19" s="18">
        <f>E19*49.2/100</f>
        <v>19.68</v>
      </c>
      <c r="L19" s="26">
        <f>F19*49.2/100</f>
        <v>19.68</v>
      </c>
      <c r="M19" s="18">
        <f t="shared" si="7"/>
        <v>93.759999999999991</v>
      </c>
      <c r="N19" s="28">
        <f t="shared" si="7"/>
        <v>93.759999999999991</v>
      </c>
      <c r="P19" s="14" t="s">
        <v>15</v>
      </c>
    </row>
    <row r="20" spans="2:16" x14ac:dyDescent="0.25">
      <c r="B20" s="241"/>
      <c r="C20" s="101"/>
      <c r="D20" s="102" t="s">
        <v>10</v>
      </c>
      <c r="E20" s="103">
        <f t="shared" ref="E20:N20" si="8">SUM(E14:E19)</f>
        <v>700</v>
      </c>
      <c r="F20" s="104">
        <f t="shared" si="8"/>
        <v>790</v>
      </c>
      <c r="G20" s="105">
        <f t="shared" si="8"/>
        <v>28.290000000000003</v>
      </c>
      <c r="H20" s="106">
        <f t="shared" si="8"/>
        <v>31.840000000000003</v>
      </c>
      <c r="I20" s="103">
        <f t="shared" si="8"/>
        <v>25.390000000000004</v>
      </c>
      <c r="J20" s="106">
        <f t="shared" si="8"/>
        <v>29.450000000000003</v>
      </c>
      <c r="K20" s="105">
        <f t="shared" si="8"/>
        <v>102.1</v>
      </c>
      <c r="L20" s="106">
        <f t="shared" si="8"/>
        <v>112.43</v>
      </c>
      <c r="M20" s="105">
        <f t="shared" si="8"/>
        <v>750.07</v>
      </c>
      <c r="N20" s="107">
        <f t="shared" si="8"/>
        <v>842.13</v>
      </c>
    </row>
    <row r="21" spans="2:16" x14ac:dyDescent="0.25">
      <c r="B21" s="241"/>
      <c r="C21" s="243" t="s">
        <v>144</v>
      </c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5"/>
    </row>
    <row r="22" spans="2:16" x14ac:dyDescent="0.25">
      <c r="B22" s="241"/>
      <c r="C22" s="77" t="s">
        <v>147</v>
      </c>
      <c r="D22" s="8" t="s">
        <v>148</v>
      </c>
      <c r="E22" s="53">
        <v>150</v>
      </c>
      <c r="F22" s="25">
        <v>180</v>
      </c>
      <c r="G22" s="18">
        <f>E22*11/100</f>
        <v>16.5</v>
      </c>
      <c r="H22" s="26">
        <f>F22*11/100</f>
        <v>19.8</v>
      </c>
      <c r="I22" s="18">
        <f>E22*2.5/100</f>
        <v>3.75</v>
      </c>
      <c r="J22" s="26">
        <f>F22*2.5/100</f>
        <v>4.5</v>
      </c>
      <c r="K22" s="18">
        <f>E22*19.85/100</f>
        <v>29.774999999999999</v>
      </c>
      <c r="L22" s="26">
        <f>F22*19.85/100</f>
        <v>35.730000000000004</v>
      </c>
      <c r="M22" s="18">
        <f t="shared" ref="M22:N22" si="9">G22*4+I22*9+K22*4</f>
        <v>218.85</v>
      </c>
      <c r="N22" s="28">
        <f t="shared" si="9"/>
        <v>262.62</v>
      </c>
    </row>
    <row r="23" spans="2:16" ht="15.75" thickBot="1" x14ac:dyDescent="0.3">
      <c r="B23" s="242"/>
      <c r="C23" s="109"/>
      <c r="D23" s="110" t="s">
        <v>168</v>
      </c>
      <c r="E23" s="111">
        <f>E20+E12</f>
        <v>1100</v>
      </c>
      <c r="F23" s="112">
        <f t="shared" ref="F23:L23" si="10">F20+F12</f>
        <v>1240</v>
      </c>
      <c r="G23" s="113">
        <f t="shared" si="10"/>
        <v>40.375</v>
      </c>
      <c r="H23" s="114">
        <f t="shared" si="10"/>
        <v>46.1</v>
      </c>
      <c r="I23" s="113">
        <f t="shared" si="10"/>
        <v>34.370000000000005</v>
      </c>
      <c r="J23" s="114">
        <f>J20+J12</f>
        <v>40.300000000000004</v>
      </c>
      <c r="K23" s="113">
        <f t="shared" si="10"/>
        <v>154.63</v>
      </c>
      <c r="L23" s="114">
        <f t="shared" si="10"/>
        <v>172.81</v>
      </c>
      <c r="M23" s="113">
        <f>M20+M12</f>
        <v>1089.3499999999999</v>
      </c>
      <c r="N23" s="115">
        <f>N20+N12</f>
        <v>1238.3400000000001</v>
      </c>
    </row>
    <row r="24" spans="2:16" x14ac:dyDescent="0.25">
      <c r="B24" s="240" t="s">
        <v>106</v>
      </c>
      <c r="C24" s="204" t="s">
        <v>98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2:16" x14ac:dyDescent="0.25">
      <c r="B25" s="241"/>
      <c r="C25" s="100" t="s">
        <v>138</v>
      </c>
      <c r="D25" s="92" t="s">
        <v>139</v>
      </c>
      <c r="E25" s="53">
        <v>150</v>
      </c>
      <c r="F25" s="25">
        <v>200</v>
      </c>
      <c r="G25" s="18">
        <f>E25*2.5/100</f>
        <v>3.75</v>
      </c>
      <c r="H25" s="26">
        <f>F25*2.5/100</f>
        <v>5</v>
      </c>
      <c r="I25" s="18">
        <f>E25*3.18/100</f>
        <v>4.7699999999999996</v>
      </c>
      <c r="J25" s="26">
        <f>F25*3.18/100</f>
        <v>6.36</v>
      </c>
      <c r="K25" s="18">
        <f>E25*15.7/100</f>
        <v>23.55</v>
      </c>
      <c r="L25" s="26">
        <f>F25*15.7/100</f>
        <v>31.4</v>
      </c>
      <c r="M25" s="18">
        <f t="shared" ref="M25:N28" si="11">G25*4+I25*9+K25*4</f>
        <v>152.13</v>
      </c>
      <c r="N25" s="28">
        <f t="shared" si="11"/>
        <v>202.84</v>
      </c>
    </row>
    <row r="26" spans="2:16" x14ac:dyDescent="0.25">
      <c r="B26" s="241"/>
      <c r="C26" s="17" t="s">
        <v>51</v>
      </c>
      <c r="D26" s="6" t="s">
        <v>52</v>
      </c>
      <c r="E26" s="47">
        <v>40</v>
      </c>
      <c r="F26" s="48">
        <v>50</v>
      </c>
      <c r="G26" s="18">
        <f>E26*7.6/100</f>
        <v>3.04</v>
      </c>
      <c r="H26" s="26">
        <f>F26*7.6/100</f>
        <v>3.8</v>
      </c>
      <c r="I26" s="18">
        <f>E26*0.8/100</f>
        <v>0.32</v>
      </c>
      <c r="J26" s="26">
        <f>F26*0.8/100</f>
        <v>0.4</v>
      </c>
      <c r="K26" s="18">
        <f>E26*49.2/100</f>
        <v>19.68</v>
      </c>
      <c r="L26" s="26">
        <f>F26*49.2/100</f>
        <v>24.6</v>
      </c>
      <c r="M26" s="18">
        <f t="shared" si="11"/>
        <v>93.759999999999991</v>
      </c>
      <c r="N26" s="28">
        <f t="shared" si="11"/>
        <v>117.2</v>
      </c>
    </row>
    <row r="27" spans="2:16" x14ac:dyDescent="0.25">
      <c r="B27" s="241"/>
      <c r="C27" s="93" t="s">
        <v>140</v>
      </c>
      <c r="D27" s="94" t="s">
        <v>175</v>
      </c>
      <c r="E27" s="53">
        <v>10</v>
      </c>
      <c r="F27" s="95">
        <v>10</v>
      </c>
      <c r="G27" s="53">
        <f>E27*0.08/10</f>
        <v>0.08</v>
      </c>
      <c r="H27" s="25">
        <f>F27*0.08/10</f>
        <v>0.08</v>
      </c>
      <c r="I27" s="18">
        <f>E27*7.25/10</f>
        <v>7.25</v>
      </c>
      <c r="J27" s="26">
        <f>F27*7.25/10</f>
        <v>7.25</v>
      </c>
      <c r="K27" s="18">
        <f>E27*0.13/10</f>
        <v>0.13</v>
      </c>
      <c r="L27" s="26">
        <f>F27*0.13/10</f>
        <v>0.13</v>
      </c>
      <c r="M27" s="18">
        <f t="shared" si="11"/>
        <v>66.089999999999989</v>
      </c>
      <c r="N27" s="28">
        <f t="shared" si="11"/>
        <v>66.089999999999989</v>
      </c>
    </row>
    <row r="28" spans="2:16" x14ac:dyDescent="0.25">
      <c r="B28" s="241"/>
      <c r="C28" s="77" t="s">
        <v>34</v>
      </c>
      <c r="D28" s="9" t="s">
        <v>94</v>
      </c>
      <c r="E28" s="53">
        <v>200</v>
      </c>
      <c r="F28" s="25">
        <v>200</v>
      </c>
      <c r="G28" s="18">
        <f>E28*0.2/200</f>
        <v>0.2</v>
      </c>
      <c r="H28" s="26">
        <f>F28*0.2/200</f>
        <v>0.2</v>
      </c>
      <c r="I28" s="18">
        <f t="shared" ref="I28" si="12">E28*0.1/200</f>
        <v>0.1</v>
      </c>
      <c r="J28" s="26">
        <f t="shared" ref="J28" si="13">F28*0.1/200</f>
        <v>0.1</v>
      </c>
      <c r="K28" s="18">
        <f>E28*9.3/200</f>
        <v>9.3000000000000007</v>
      </c>
      <c r="L28" s="26">
        <f>F28*9.3/200</f>
        <v>9.3000000000000007</v>
      </c>
      <c r="M28" s="18">
        <f t="shared" si="11"/>
        <v>38.900000000000006</v>
      </c>
      <c r="N28" s="28">
        <f t="shared" si="11"/>
        <v>38.900000000000006</v>
      </c>
    </row>
    <row r="29" spans="2:16" x14ac:dyDescent="0.25">
      <c r="B29" s="241"/>
      <c r="C29" s="65"/>
      <c r="D29" s="4" t="s">
        <v>99</v>
      </c>
      <c r="E29" s="20">
        <f t="shared" ref="E29:N29" si="14">SUM(E25:E28)</f>
        <v>400</v>
      </c>
      <c r="F29" s="69">
        <f t="shared" si="14"/>
        <v>460</v>
      </c>
      <c r="G29" s="7">
        <f t="shared" si="14"/>
        <v>7.07</v>
      </c>
      <c r="H29" s="27">
        <f t="shared" si="14"/>
        <v>9.08</v>
      </c>
      <c r="I29" s="7">
        <f t="shared" si="14"/>
        <v>12.44</v>
      </c>
      <c r="J29" s="27">
        <f t="shared" si="14"/>
        <v>14.110000000000001</v>
      </c>
      <c r="K29" s="7">
        <f t="shared" si="14"/>
        <v>52.660000000000011</v>
      </c>
      <c r="L29" s="27">
        <f t="shared" si="14"/>
        <v>65.430000000000007</v>
      </c>
      <c r="M29" s="7">
        <f t="shared" si="14"/>
        <v>350.88</v>
      </c>
      <c r="N29" s="29">
        <f t="shared" si="14"/>
        <v>425.03</v>
      </c>
    </row>
    <row r="30" spans="2:16" x14ac:dyDescent="0.25">
      <c r="B30" s="241"/>
      <c r="C30" s="204" t="s">
        <v>8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6"/>
    </row>
    <row r="31" spans="2:16" x14ac:dyDescent="0.25">
      <c r="B31" s="241"/>
      <c r="C31" s="77" t="s">
        <v>151</v>
      </c>
      <c r="D31" s="61" t="s">
        <v>152</v>
      </c>
      <c r="E31" s="76">
        <v>200</v>
      </c>
      <c r="F31" s="35">
        <v>250</v>
      </c>
      <c r="G31" s="19">
        <f>E31*13.5/250</f>
        <v>10.8</v>
      </c>
      <c r="H31" s="36">
        <f>F31*13.5/250</f>
        <v>13.5</v>
      </c>
      <c r="I31" s="19">
        <f>E31*3.6/250</f>
        <v>2.88</v>
      </c>
      <c r="J31" s="36">
        <f>F31*3.6/250</f>
        <v>3.6</v>
      </c>
      <c r="K31" s="19">
        <f>E31*12.5/250</f>
        <v>10</v>
      </c>
      <c r="L31" s="36">
        <f>F31*12.5/250</f>
        <v>12.5</v>
      </c>
      <c r="M31" s="19">
        <f t="shared" ref="M31:N32" si="15">G31*4+I31*9+K31*4</f>
        <v>109.12</v>
      </c>
      <c r="N31" s="33">
        <f t="shared" si="15"/>
        <v>136.4</v>
      </c>
    </row>
    <row r="32" spans="2:16" x14ac:dyDescent="0.25">
      <c r="B32" s="241"/>
      <c r="C32" s="77" t="s">
        <v>153</v>
      </c>
      <c r="D32" s="9" t="s">
        <v>154</v>
      </c>
      <c r="E32" s="53">
        <v>90</v>
      </c>
      <c r="F32" s="25">
        <v>100</v>
      </c>
      <c r="G32" s="18">
        <f>E32*6.33/100</f>
        <v>5.6970000000000001</v>
      </c>
      <c r="H32" s="26">
        <f>F32*6.33/100</f>
        <v>6.33</v>
      </c>
      <c r="I32" s="18">
        <f>E32*14.65/100</f>
        <v>13.185</v>
      </c>
      <c r="J32" s="26">
        <f>F32*14.65/100</f>
        <v>14.65</v>
      </c>
      <c r="K32" s="18">
        <f>E32*10.55/100</f>
        <v>9.495000000000001</v>
      </c>
      <c r="L32" s="26">
        <f>F32*10.55/100</f>
        <v>10.55</v>
      </c>
      <c r="M32" s="18">
        <f t="shared" si="15"/>
        <v>179.43299999999999</v>
      </c>
      <c r="N32" s="28">
        <f t="shared" si="15"/>
        <v>199.37</v>
      </c>
    </row>
    <row r="33" spans="2:18" x14ac:dyDescent="0.25">
      <c r="B33" s="241"/>
      <c r="C33" s="17" t="s">
        <v>23</v>
      </c>
      <c r="D33" s="6" t="s">
        <v>9</v>
      </c>
      <c r="E33" s="53">
        <v>150</v>
      </c>
      <c r="F33" s="25">
        <v>180</v>
      </c>
      <c r="G33" s="18">
        <f>E33*3.63/100</f>
        <v>5.4450000000000003</v>
      </c>
      <c r="H33" s="26">
        <f>F33*3.63/100</f>
        <v>6.5339999999999998</v>
      </c>
      <c r="I33" s="18">
        <f>E33*4.5/100</f>
        <v>6.75</v>
      </c>
      <c r="J33" s="26">
        <f>F33*4.5/100</f>
        <v>8.1</v>
      </c>
      <c r="K33" s="18">
        <f>E33*22.5/100</f>
        <v>33.75</v>
      </c>
      <c r="L33" s="26">
        <f>F33*22.5/100</f>
        <v>40.5</v>
      </c>
      <c r="M33" s="18">
        <f t="shared" ref="M33:N36" si="16">G33*4+I33*9+K33*4</f>
        <v>217.53</v>
      </c>
      <c r="N33" s="28">
        <f t="shared" si="16"/>
        <v>261.036</v>
      </c>
    </row>
    <row r="34" spans="2:18" x14ac:dyDescent="0.25">
      <c r="B34" s="241"/>
      <c r="C34" s="77" t="s">
        <v>65</v>
      </c>
      <c r="D34" s="9" t="s">
        <v>66</v>
      </c>
      <c r="E34" s="53">
        <v>200</v>
      </c>
      <c r="F34" s="25">
        <v>200</v>
      </c>
      <c r="G34" s="18">
        <f>E34*0.67/200</f>
        <v>0.67</v>
      </c>
      <c r="H34" s="26">
        <f>F34*0.67/200</f>
        <v>0.67</v>
      </c>
      <c r="I34" s="18">
        <f>E34*0.27/200</f>
        <v>0.27</v>
      </c>
      <c r="J34" s="26">
        <f>F34*0.27/200</f>
        <v>0.27</v>
      </c>
      <c r="K34" s="18">
        <f>E34*18.3/200</f>
        <v>18.3</v>
      </c>
      <c r="L34" s="26">
        <f>F34*18.3/200</f>
        <v>18.3</v>
      </c>
      <c r="M34" s="18">
        <f t="shared" si="16"/>
        <v>78.31</v>
      </c>
      <c r="N34" s="28">
        <f t="shared" si="16"/>
        <v>78.31</v>
      </c>
    </row>
    <row r="35" spans="2:18" x14ac:dyDescent="0.25">
      <c r="B35" s="241"/>
      <c r="C35" s="17" t="s">
        <v>50</v>
      </c>
      <c r="D35" s="6" t="s">
        <v>14</v>
      </c>
      <c r="E35" s="47">
        <v>20</v>
      </c>
      <c r="F35" s="48">
        <v>20</v>
      </c>
      <c r="G35" s="18">
        <f>E35*8/100</f>
        <v>1.6</v>
      </c>
      <c r="H35" s="26">
        <f>F35*8/100</f>
        <v>1.6</v>
      </c>
      <c r="I35" s="18">
        <f>E35*1.5/100</f>
        <v>0.3</v>
      </c>
      <c r="J35" s="26">
        <f>F35*1.5/100</f>
        <v>0.3</v>
      </c>
      <c r="K35" s="18">
        <f>E35*40.1/100</f>
        <v>8.02</v>
      </c>
      <c r="L35" s="26">
        <f>F35*40.1/100</f>
        <v>8.02</v>
      </c>
      <c r="M35" s="18">
        <f t="shared" si="16"/>
        <v>41.18</v>
      </c>
      <c r="N35" s="28">
        <f t="shared" si="16"/>
        <v>41.18</v>
      </c>
      <c r="R35" s="14" t="s">
        <v>15</v>
      </c>
    </row>
    <row r="36" spans="2:18" x14ac:dyDescent="0.25">
      <c r="B36" s="241"/>
      <c r="C36" s="17" t="s">
        <v>51</v>
      </c>
      <c r="D36" s="6" t="s">
        <v>52</v>
      </c>
      <c r="E36" s="47">
        <v>40</v>
      </c>
      <c r="F36" s="48">
        <v>50</v>
      </c>
      <c r="G36" s="18">
        <f>E36*7.6/100</f>
        <v>3.04</v>
      </c>
      <c r="H36" s="26">
        <f>F36*7.6/100</f>
        <v>3.8</v>
      </c>
      <c r="I36" s="18">
        <f>E36*0.8/100</f>
        <v>0.32</v>
      </c>
      <c r="J36" s="26">
        <f>F36*0.8/100</f>
        <v>0.4</v>
      </c>
      <c r="K36" s="18">
        <f>E36*49.2/100</f>
        <v>19.68</v>
      </c>
      <c r="L36" s="26">
        <f>F36*49.2/100</f>
        <v>24.6</v>
      </c>
      <c r="M36" s="18">
        <f t="shared" si="16"/>
        <v>93.759999999999991</v>
      </c>
      <c r="N36" s="28">
        <f t="shared" si="16"/>
        <v>117.2</v>
      </c>
    </row>
    <row r="37" spans="2:18" ht="15.75" thickBot="1" x14ac:dyDescent="0.3">
      <c r="B37" s="242"/>
      <c r="C37" s="21"/>
      <c r="D37" s="15" t="s">
        <v>10</v>
      </c>
      <c r="E37" s="57">
        <f t="shared" ref="E37:N37" si="17">SUM(E31:E36)</f>
        <v>700</v>
      </c>
      <c r="F37" s="58">
        <f t="shared" si="17"/>
        <v>800</v>
      </c>
      <c r="G37" s="16">
        <f t="shared" si="17"/>
        <v>27.252000000000002</v>
      </c>
      <c r="H37" s="32">
        <f t="shared" si="17"/>
        <v>32.433999999999997</v>
      </c>
      <c r="I37" s="16">
        <f t="shared" si="17"/>
        <v>23.705000000000002</v>
      </c>
      <c r="J37" s="32">
        <f t="shared" si="17"/>
        <v>27.32</v>
      </c>
      <c r="K37" s="16">
        <f t="shared" si="17"/>
        <v>99.245000000000005</v>
      </c>
      <c r="L37" s="32">
        <f t="shared" si="17"/>
        <v>114.47</v>
      </c>
      <c r="M37" s="16">
        <f t="shared" si="17"/>
        <v>719.33299999999997</v>
      </c>
      <c r="N37" s="34">
        <f t="shared" si="17"/>
        <v>833.49599999999998</v>
      </c>
    </row>
    <row r="38" spans="2:18" x14ac:dyDescent="0.25">
      <c r="B38" s="97"/>
      <c r="C38" s="204" t="s">
        <v>98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6"/>
    </row>
    <row r="39" spans="2:18" x14ac:dyDescent="0.25">
      <c r="B39" s="97"/>
      <c r="C39" s="77" t="s">
        <v>173</v>
      </c>
      <c r="D39" s="8" t="s">
        <v>174</v>
      </c>
      <c r="E39" s="53">
        <v>150</v>
      </c>
      <c r="F39" s="108">
        <v>200</v>
      </c>
      <c r="G39" s="18">
        <f>E39*3.03/100</f>
        <v>4.544999999999999</v>
      </c>
      <c r="H39" s="26">
        <f>F39*3.03/100</f>
        <v>6.06</v>
      </c>
      <c r="I39" s="18">
        <f>E39*3.21/100</f>
        <v>4.8150000000000004</v>
      </c>
      <c r="J39" s="26">
        <f>F39*3.21/100</f>
        <v>6.42</v>
      </c>
      <c r="K39" s="18">
        <f>E39*15.23/100</f>
        <v>22.844999999999999</v>
      </c>
      <c r="L39" s="26">
        <f>F39*15.23/100</f>
        <v>30.46</v>
      </c>
      <c r="M39" s="18">
        <f t="shared" ref="M39:N39" si="18">G39*4+I39*9+K39*4</f>
        <v>152.89499999999998</v>
      </c>
      <c r="N39" s="28">
        <f t="shared" si="18"/>
        <v>203.86</v>
      </c>
    </row>
    <row r="40" spans="2:18" x14ac:dyDescent="0.25">
      <c r="B40" s="97"/>
      <c r="C40" s="17" t="s">
        <v>51</v>
      </c>
      <c r="D40" s="6" t="s">
        <v>52</v>
      </c>
      <c r="E40" s="47">
        <v>40</v>
      </c>
      <c r="F40" s="48">
        <v>50</v>
      </c>
      <c r="G40" s="18">
        <f>E40*7.6/100</f>
        <v>3.04</v>
      </c>
      <c r="H40" s="26">
        <f>F40*7.6/100</f>
        <v>3.8</v>
      </c>
      <c r="I40" s="18">
        <f>E40*0.8/100</f>
        <v>0.32</v>
      </c>
      <c r="J40" s="26">
        <f>F40*0.8/100</f>
        <v>0.4</v>
      </c>
      <c r="K40" s="18">
        <f>E40*49.2/100</f>
        <v>19.68</v>
      </c>
      <c r="L40" s="26">
        <f>F40*49.2/100</f>
        <v>24.6</v>
      </c>
      <c r="M40" s="18">
        <f t="shared" ref="M40:M42" si="19">G40*4+I40*9+K40*4</f>
        <v>93.759999999999991</v>
      </c>
      <c r="N40" s="28">
        <f t="shared" ref="N40:N42" si="20">H40*4+J40*9+L40*4</f>
        <v>117.2</v>
      </c>
    </row>
    <row r="41" spans="2:18" x14ac:dyDescent="0.25">
      <c r="B41" s="97"/>
      <c r="C41" s="93" t="s">
        <v>166</v>
      </c>
      <c r="D41" s="94" t="s">
        <v>167</v>
      </c>
      <c r="E41" s="53">
        <v>10</v>
      </c>
      <c r="F41" s="95">
        <v>10</v>
      </c>
      <c r="G41" s="18">
        <f>E41*23.2/100</f>
        <v>2.3199999999999998</v>
      </c>
      <c r="H41" s="26">
        <f>F41*23.2/100</f>
        <v>2.3199999999999998</v>
      </c>
      <c r="I41" s="18">
        <f>E41*29.5/100</f>
        <v>2.95</v>
      </c>
      <c r="J41" s="26">
        <f>F41*29.5/100</f>
        <v>2.95</v>
      </c>
      <c r="K41" s="18">
        <f>E41*0/100</f>
        <v>0</v>
      </c>
      <c r="L41" s="26">
        <f>F41*0/100</f>
        <v>0</v>
      </c>
      <c r="M41" s="18">
        <f t="shared" si="19"/>
        <v>35.83</v>
      </c>
      <c r="N41" s="28">
        <f t="shared" si="20"/>
        <v>35.83</v>
      </c>
    </row>
    <row r="42" spans="2:18" x14ac:dyDescent="0.25">
      <c r="B42" s="97"/>
      <c r="C42" s="77" t="s">
        <v>34</v>
      </c>
      <c r="D42" s="9" t="s">
        <v>94</v>
      </c>
      <c r="E42" s="53">
        <v>200</v>
      </c>
      <c r="F42" s="25">
        <v>200</v>
      </c>
      <c r="G42" s="18">
        <f>E42*0.2/200</f>
        <v>0.2</v>
      </c>
      <c r="H42" s="26">
        <f>F42*0.2/200</f>
        <v>0.2</v>
      </c>
      <c r="I42" s="18">
        <f t="shared" ref="I42" si="21">E42*0.1/200</f>
        <v>0.1</v>
      </c>
      <c r="J42" s="26">
        <f t="shared" ref="J42" si="22">F42*0.1/200</f>
        <v>0.1</v>
      </c>
      <c r="K42" s="18">
        <f>E42*9.3/200</f>
        <v>9.3000000000000007</v>
      </c>
      <c r="L42" s="26">
        <f>F42*9.3/200</f>
        <v>9.3000000000000007</v>
      </c>
      <c r="M42" s="18">
        <f t="shared" si="19"/>
        <v>38.900000000000006</v>
      </c>
      <c r="N42" s="28">
        <f t="shared" si="20"/>
        <v>38.900000000000006</v>
      </c>
    </row>
    <row r="43" spans="2:18" x14ac:dyDescent="0.25">
      <c r="B43" s="97"/>
      <c r="C43" s="65"/>
      <c r="D43" s="4" t="s">
        <v>99</v>
      </c>
      <c r="E43" s="20">
        <f t="shared" ref="E43:N43" si="23">SUM(E39:E42)</f>
        <v>400</v>
      </c>
      <c r="F43" s="99">
        <f t="shared" si="23"/>
        <v>460</v>
      </c>
      <c r="G43" s="7">
        <f t="shared" si="23"/>
        <v>10.104999999999999</v>
      </c>
      <c r="H43" s="27">
        <f t="shared" si="23"/>
        <v>12.379999999999999</v>
      </c>
      <c r="I43" s="7">
        <f t="shared" si="23"/>
        <v>8.1850000000000005</v>
      </c>
      <c r="J43" s="27">
        <f t="shared" si="23"/>
        <v>9.8699999999999992</v>
      </c>
      <c r="K43" s="7">
        <f t="shared" si="23"/>
        <v>51.825000000000003</v>
      </c>
      <c r="L43" s="27">
        <f t="shared" si="23"/>
        <v>64.36</v>
      </c>
      <c r="M43" s="7">
        <f t="shared" si="23"/>
        <v>321.38499999999999</v>
      </c>
      <c r="N43" s="29">
        <f t="shared" si="23"/>
        <v>395.78999999999996</v>
      </c>
    </row>
    <row r="44" spans="2:18" x14ac:dyDescent="0.25">
      <c r="B44" s="241" t="s">
        <v>107</v>
      </c>
      <c r="C44" s="204" t="s">
        <v>8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6"/>
    </row>
    <row r="45" spans="2:18" x14ac:dyDescent="0.25">
      <c r="B45" s="241"/>
      <c r="C45" s="90" t="s">
        <v>95</v>
      </c>
      <c r="D45" s="75" t="s">
        <v>96</v>
      </c>
      <c r="E45" s="76">
        <v>250</v>
      </c>
      <c r="F45" s="35">
        <v>250</v>
      </c>
      <c r="G45" s="19">
        <f>E45*1.82/100</f>
        <v>4.55</v>
      </c>
      <c r="H45" s="36">
        <f>F45*1.82/100</f>
        <v>4.55</v>
      </c>
      <c r="I45" s="19">
        <f>E45*2.99/100</f>
        <v>7.4749999999999996</v>
      </c>
      <c r="J45" s="36">
        <f>F45*2.99/100</f>
        <v>7.4749999999999996</v>
      </c>
      <c r="K45" s="19">
        <f>E45*3.96/100</f>
        <v>9.9</v>
      </c>
      <c r="L45" s="36">
        <f>F45*3.96/100</f>
        <v>9.9</v>
      </c>
      <c r="M45" s="19">
        <f t="shared" ref="M45:N49" si="24">G45*4+I45*9+K45*4</f>
        <v>125.07499999999999</v>
      </c>
      <c r="N45" s="33">
        <f t="shared" si="24"/>
        <v>125.07499999999999</v>
      </c>
    </row>
    <row r="46" spans="2:18" x14ac:dyDescent="0.25">
      <c r="B46" s="241"/>
      <c r="C46" s="77" t="s">
        <v>46</v>
      </c>
      <c r="D46" s="9" t="s">
        <v>47</v>
      </c>
      <c r="E46" s="53">
        <v>230</v>
      </c>
      <c r="F46" s="25">
        <v>250</v>
      </c>
      <c r="G46" s="18">
        <f>E46*5.7/100</f>
        <v>13.11</v>
      </c>
      <c r="H46" s="26">
        <f>F46*5.7/100</f>
        <v>14.25</v>
      </c>
      <c r="I46" s="18">
        <f>E46*9.45/100</f>
        <v>21.734999999999999</v>
      </c>
      <c r="J46" s="26">
        <f>F46*9.45/100</f>
        <v>23.625</v>
      </c>
      <c r="K46" s="18">
        <f>E46*9.4/100</f>
        <v>21.62</v>
      </c>
      <c r="L46" s="26">
        <f>F46*9.4/100</f>
        <v>23.5</v>
      </c>
      <c r="M46" s="18">
        <f t="shared" si="24"/>
        <v>334.53500000000003</v>
      </c>
      <c r="N46" s="28">
        <f t="shared" si="24"/>
        <v>363.625</v>
      </c>
    </row>
    <row r="47" spans="2:18" x14ac:dyDescent="0.25">
      <c r="B47" s="241"/>
      <c r="C47" s="77" t="s">
        <v>35</v>
      </c>
      <c r="D47" s="9" t="s">
        <v>36</v>
      </c>
      <c r="E47" s="53">
        <v>200</v>
      </c>
      <c r="F47" s="25">
        <v>200</v>
      </c>
      <c r="G47" s="18">
        <f>E47*0.6/200</f>
        <v>0.6</v>
      </c>
      <c r="H47" s="26">
        <f>F47*0.6/200</f>
        <v>0.6</v>
      </c>
      <c r="I47" s="18">
        <f t="shared" ref="I47" si="25">E47*0.1/200</f>
        <v>0.1</v>
      </c>
      <c r="J47" s="26">
        <f t="shared" ref="J47" si="26">F47*0.1/200</f>
        <v>0.1</v>
      </c>
      <c r="K47" s="18">
        <f>E47*20.1/200</f>
        <v>20.100000000000001</v>
      </c>
      <c r="L47" s="26">
        <f>F47*20.1/200</f>
        <v>20.100000000000001</v>
      </c>
      <c r="M47" s="18">
        <f t="shared" si="24"/>
        <v>83.7</v>
      </c>
      <c r="N47" s="28">
        <f t="shared" si="24"/>
        <v>83.7</v>
      </c>
    </row>
    <row r="48" spans="2:18" x14ac:dyDescent="0.25">
      <c r="B48" s="241"/>
      <c r="C48" s="17" t="s">
        <v>50</v>
      </c>
      <c r="D48" s="6" t="s">
        <v>14</v>
      </c>
      <c r="E48" s="47">
        <v>20</v>
      </c>
      <c r="F48" s="48">
        <v>20</v>
      </c>
      <c r="G48" s="18">
        <f>E48*8/100</f>
        <v>1.6</v>
      </c>
      <c r="H48" s="26">
        <f>F48*8/100</f>
        <v>1.6</v>
      </c>
      <c r="I48" s="18">
        <f>E48*1.5/100</f>
        <v>0.3</v>
      </c>
      <c r="J48" s="26">
        <f>F48*1.5/100</f>
        <v>0.3</v>
      </c>
      <c r="K48" s="18">
        <f>E48*40.1/100</f>
        <v>8.02</v>
      </c>
      <c r="L48" s="26">
        <f>F48*40.1/100</f>
        <v>8.02</v>
      </c>
      <c r="M48" s="18">
        <f t="shared" si="24"/>
        <v>41.18</v>
      </c>
      <c r="N48" s="28">
        <f t="shared" si="24"/>
        <v>41.18</v>
      </c>
    </row>
    <row r="49" spans="2:14" x14ac:dyDescent="0.25">
      <c r="B49" s="241"/>
      <c r="C49" s="17" t="s">
        <v>51</v>
      </c>
      <c r="D49" s="6" t="s">
        <v>52</v>
      </c>
      <c r="E49" s="47">
        <v>55</v>
      </c>
      <c r="F49" s="48">
        <v>55</v>
      </c>
      <c r="G49" s="18">
        <f>E49*7.6/100</f>
        <v>4.18</v>
      </c>
      <c r="H49" s="26">
        <f>F49*7.6/100</f>
        <v>4.18</v>
      </c>
      <c r="I49" s="18">
        <f>E49*0.8/100</f>
        <v>0.44</v>
      </c>
      <c r="J49" s="26">
        <f>F49*0.8/100</f>
        <v>0.44</v>
      </c>
      <c r="K49" s="18">
        <f>E49*49.2/100</f>
        <v>27.06</v>
      </c>
      <c r="L49" s="26">
        <f>F49*49.2/100</f>
        <v>27.06</v>
      </c>
      <c r="M49" s="18">
        <f t="shared" si="24"/>
        <v>128.91999999999999</v>
      </c>
      <c r="N49" s="28">
        <f t="shared" si="24"/>
        <v>128.91999999999999</v>
      </c>
    </row>
    <row r="50" spans="2:14" ht="15.75" thickBot="1" x14ac:dyDescent="0.3">
      <c r="B50" s="242"/>
      <c r="C50" s="21"/>
      <c r="D50" s="15" t="s">
        <v>10</v>
      </c>
      <c r="E50" s="57">
        <f t="shared" ref="E50:N50" si="27">SUM(E45:E49)</f>
        <v>755</v>
      </c>
      <c r="F50" s="58">
        <f t="shared" si="27"/>
        <v>775</v>
      </c>
      <c r="G50" s="16">
        <f t="shared" si="27"/>
        <v>24.040000000000003</v>
      </c>
      <c r="H50" s="32">
        <f t="shared" si="27"/>
        <v>25.180000000000003</v>
      </c>
      <c r="I50" s="16">
        <f t="shared" si="27"/>
        <v>30.050000000000004</v>
      </c>
      <c r="J50" s="32">
        <f t="shared" si="27"/>
        <v>31.940000000000005</v>
      </c>
      <c r="K50" s="16">
        <f t="shared" si="27"/>
        <v>86.7</v>
      </c>
      <c r="L50" s="32">
        <f t="shared" si="27"/>
        <v>88.58</v>
      </c>
      <c r="M50" s="16">
        <f t="shared" si="27"/>
        <v>713.41</v>
      </c>
      <c r="N50" s="34">
        <f t="shared" si="27"/>
        <v>742.49999999999989</v>
      </c>
    </row>
  </sheetData>
  <mergeCells count="19">
    <mergeCell ref="M4:N5"/>
    <mergeCell ref="G5:H5"/>
    <mergeCell ref="I5:J5"/>
    <mergeCell ref="K5:L5"/>
    <mergeCell ref="B4:B6"/>
    <mergeCell ref="C4:C6"/>
    <mergeCell ref="D4:D6"/>
    <mergeCell ref="E4:F5"/>
    <mergeCell ref="G4:L4"/>
    <mergeCell ref="B44:B50"/>
    <mergeCell ref="C44:N44"/>
    <mergeCell ref="C7:N7"/>
    <mergeCell ref="C13:N13"/>
    <mergeCell ref="B24:B37"/>
    <mergeCell ref="C24:N24"/>
    <mergeCell ref="C30:N30"/>
    <mergeCell ref="C21:N21"/>
    <mergeCell ref="B7:B23"/>
    <mergeCell ref="C38:N38"/>
  </mergeCells>
  <pageMargins left="0.23622047244094491" right="0.23622047244094491" top="0.19685039370078741" bottom="0.19685039370078741" header="0.31496062992125984" footer="0.31496062992125984"/>
  <pageSetup paperSize="9" scale="7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1:Z63"/>
  <sheetViews>
    <sheetView zoomScale="90" zoomScaleNormal="90" zoomScalePageLayoutView="90" workbookViewId="0">
      <selection activeCell="R13" sqref="R13"/>
    </sheetView>
  </sheetViews>
  <sheetFormatPr defaultRowHeight="15" x14ac:dyDescent="0.25"/>
  <cols>
    <col min="1" max="1" width="5.7109375" style="14" customWidth="1"/>
    <col min="2" max="2" width="2.7109375" style="14" customWidth="1"/>
    <col min="3" max="3" width="10.5703125" style="14" customWidth="1"/>
    <col min="4" max="4" width="37" style="14" customWidth="1"/>
    <col min="5" max="6" width="7.28515625" style="14" customWidth="1"/>
    <col min="7" max="7" width="6.7109375" style="14" customWidth="1"/>
    <col min="8" max="8" width="6.85546875" style="14" customWidth="1"/>
    <col min="9" max="9" width="6.42578125" style="14" customWidth="1"/>
    <col min="10" max="10" width="6.5703125" style="14" customWidth="1"/>
    <col min="11" max="11" width="7.5703125" style="14" customWidth="1"/>
    <col min="12" max="12" width="7.42578125" style="14" customWidth="1"/>
    <col min="13" max="13" width="8.5703125" style="14" customWidth="1"/>
    <col min="14" max="14" width="7.5703125" style="14" customWidth="1"/>
    <col min="15" max="15" width="9" style="14" customWidth="1"/>
    <col min="16" max="16" width="7.28515625" style="14" customWidth="1"/>
    <col min="17" max="20" width="9.140625" style="14"/>
    <col min="21" max="21" width="19.7109375" style="14" customWidth="1"/>
    <col min="22" max="22" width="7.7109375" style="14" customWidth="1"/>
    <col min="23" max="23" width="9.140625" style="14"/>
    <col min="24" max="24" width="7.7109375" style="14" customWidth="1"/>
    <col min="25" max="16384" width="9.140625" style="14"/>
  </cols>
  <sheetData>
    <row r="1" spans="2:26" ht="22.5" customHeight="1" x14ac:dyDescent="0.25"/>
    <row r="2" spans="2:26" ht="15" customHeight="1" thickBot="1" x14ac:dyDescent="0.3">
      <c r="B2" s="271" t="s">
        <v>37</v>
      </c>
      <c r="C2" s="271"/>
      <c r="D2" s="271"/>
      <c r="E2" s="271"/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25">
      <c r="B3" s="212" t="s">
        <v>28</v>
      </c>
      <c r="C3" s="215" t="s">
        <v>0</v>
      </c>
      <c r="D3" s="218" t="s">
        <v>1</v>
      </c>
      <c r="E3" s="221" t="s">
        <v>6</v>
      </c>
      <c r="F3" s="222"/>
      <c r="G3" s="225" t="s">
        <v>7</v>
      </c>
      <c r="H3" s="225"/>
      <c r="I3" s="225"/>
      <c r="J3" s="225"/>
      <c r="K3" s="225"/>
      <c r="L3" s="225"/>
      <c r="M3" s="229" t="s">
        <v>5</v>
      </c>
      <c r="N3" s="230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25">
      <c r="B4" s="213"/>
      <c r="C4" s="216"/>
      <c r="D4" s="219"/>
      <c r="E4" s="223"/>
      <c r="F4" s="224"/>
      <c r="G4" s="233" t="s">
        <v>3</v>
      </c>
      <c r="H4" s="233"/>
      <c r="I4" s="231" t="s">
        <v>2</v>
      </c>
      <c r="J4" s="231"/>
      <c r="K4" s="233" t="s">
        <v>4</v>
      </c>
      <c r="L4" s="233"/>
      <c r="M4" s="231"/>
      <c r="N4" s="232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">
      <c r="B5" s="214"/>
      <c r="C5" s="217"/>
      <c r="D5" s="220"/>
      <c r="E5" s="22" t="s">
        <v>11</v>
      </c>
      <c r="F5" s="23" t="s">
        <v>33</v>
      </c>
      <c r="G5" s="22" t="s">
        <v>11</v>
      </c>
      <c r="H5" s="23" t="s">
        <v>33</v>
      </c>
      <c r="I5" s="22" t="s">
        <v>11</v>
      </c>
      <c r="J5" s="23" t="s">
        <v>33</v>
      </c>
      <c r="K5" s="22" t="s">
        <v>11</v>
      </c>
      <c r="L5" s="23" t="s">
        <v>33</v>
      </c>
      <c r="M5" s="22" t="s">
        <v>11</v>
      </c>
      <c r="N5" s="24" t="s">
        <v>33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x14ac:dyDescent="0.25">
      <c r="B6" s="240" t="s">
        <v>108</v>
      </c>
      <c r="C6" s="226" t="s">
        <v>98</v>
      </c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8"/>
    </row>
    <row r="7" spans="2:26" x14ac:dyDescent="0.25">
      <c r="B7" s="241"/>
      <c r="C7" s="77" t="s">
        <v>176</v>
      </c>
      <c r="D7" s="9" t="s">
        <v>177</v>
      </c>
      <c r="E7" s="53">
        <v>150</v>
      </c>
      <c r="F7" s="108">
        <v>200</v>
      </c>
      <c r="G7" s="18">
        <f>E7*2.5/100</f>
        <v>3.75</v>
      </c>
      <c r="H7" s="26">
        <f>F7*2.5/100</f>
        <v>5</v>
      </c>
      <c r="I7" s="18">
        <f>E7*3.2/100</f>
        <v>4.8</v>
      </c>
      <c r="J7" s="26">
        <f>F7*3.2/100</f>
        <v>6.4</v>
      </c>
      <c r="K7" s="18">
        <f>E7*13.45/100</f>
        <v>20.175000000000001</v>
      </c>
      <c r="L7" s="26">
        <f>F7*13.46/100</f>
        <v>26.92</v>
      </c>
      <c r="M7" s="18">
        <f t="shared" ref="M7:N10" si="0">G7*4+I7*9+K7*4</f>
        <v>138.9</v>
      </c>
      <c r="N7" s="28">
        <f t="shared" si="0"/>
        <v>185.28</v>
      </c>
    </row>
    <row r="8" spans="2:26" x14ac:dyDescent="0.25">
      <c r="B8" s="241"/>
      <c r="C8" s="93" t="s">
        <v>140</v>
      </c>
      <c r="D8" s="94" t="s">
        <v>141</v>
      </c>
      <c r="E8" s="53">
        <v>10</v>
      </c>
      <c r="F8" s="95">
        <v>10</v>
      </c>
      <c r="G8" s="18">
        <f>E8*0.8/100</f>
        <v>0.08</v>
      </c>
      <c r="H8" s="26">
        <f>F8*0.8/100</f>
        <v>0.08</v>
      </c>
      <c r="I8" s="18">
        <f>E8*72.5/100</f>
        <v>7.25</v>
      </c>
      <c r="J8" s="26">
        <f>F8*72.5/100</f>
        <v>7.25</v>
      </c>
      <c r="K8" s="18">
        <f>E8*1.3/100</f>
        <v>0.13</v>
      </c>
      <c r="L8" s="26">
        <f>F8*1.3/100</f>
        <v>0.13</v>
      </c>
      <c r="M8" s="18">
        <f t="shared" si="0"/>
        <v>66.089999999999989</v>
      </c>
      <c r="N8" s="28">
        <f t="shared" si="0"/>
        <v>66.089999999999989</v>
      </c>
    </row>
    <row r="9" spans="2:26" x14ac:dyDescent="0.25">
      <c r="B9" s="241"/>
      <c r="C9" s="17" t="s">
        <v>51</v>
      </c>
      <c r="D9" s="6" t="s">
        <v>52</v>
      </c>
      <c r="E9" s="47">
        <v>40</v>
      </c>
      <c r="F9" s="48">
        <v>40</v>
      </c>
      <c r="G9" s="18">
        <f>E9*7.6/100</f>
        <v>3.04</v>
      </c>
      <c r="H9" s="26">
        <f>F9*7.6/100</f>
        <v>3.04</v>
      </c>
      <c r="I9" s="18">
        <f>E9*0.8/100</f>
        <v>0.32</v>
      </c>
      <c r="J9" s="26">
        <f>F9*0.8/100</f>
        <v>0.32</v>
      </c>
      <c r="K9" s="18">
        <f>E9*49.2/100</f>
        <v>19.68</v>
      </c>
      <c r="L9" s="26">
        <f>F9*49.2/100</f>
        <v>19.68</v>
      </c>
      <c r="M9" s="18">
        <f t="shared" si="0"/>
        <v>93.759999999999991</v>
      </c>
      <c r="N9" s="28">
        <f t="shared" si="0"/>
        <v>93.759999999999991</v>
      </c>
    </row>
    <row r="10" spans="2:26" x14ac:dyDescent="0.25">
      <c r="B10" s="241"/>
      <c r="C10" s="77" t="s">
        <v>34</v>
      </c>
      <c r="D10" s="9" t="s">
        <v>94</v>
      </c>
      <c r="E10" s="53">
        <v>200</v>
      </c>
      <c r="F10" s="25">
        <v>200</v>
      </c>
      <c r="G10" s="18">
        <f>E10*0.2/200</f>
        <v>0.2</v>
      </c>
      <c r="H10" s="26">
        <f>F10*0.2/200</f>
        <v>0.2</v>
      </c>
      <c r="I10" s="18">
        <f t="shared" ref="I10:J10" si="1">E10*0.1/200</f>
        <v>0.1</v>
      </c>
      <c r="J10" s="26">
        <f t="shared" si="1"/>
        <v>0.1</v>
      </c>
      <c r="K10" s="18">
        <f>E10*9.3/200</f>
        <v>9.3000000000000007</v>
      </c>
      <c r="L10" s="26">
        <f>F10*9.3/200</f>
        <v>9.3000000000000007</v>
      </c>
      <c r="M10" s="18">
        <f t="shared" si="0"/>
        <v>38.900000000000006</v>
      </c>
      <c r="N10" s="28">
        <f t="shared" si="0"/>
        <v>38.900000000000006</v>
      </c>
    </row>
    <row r="11" spans="2:26" x14ac:dyDescent="0.25">
      <c r="B11" s="241"/>
      <c r="C11" s="17"/>
      <c r="D11" s="6"/>
      <c r="E11" s="47"/>
      <c r="F11" s="48"/>
      <c r="G11" s="18">
        <f>E11*7.6/100</f>
        <v>0</v>
      </c>
      <c r="H11" s="26">
        <f>F11*7.6/100</f>
        <v>0</v>
      </c>
      <c r="I11" s="18">
        <f>E11*0.8/100</f>
        <v>0</v>
      </c>
      <c r="J11" s="26">
        <f>F11*0.8/100</f>
        <v>0</v>
      </c>
      <c r="K11" s="18">
        <f>E11*49.2/100</f>
        <v>0</v>
      </c>
      <c r="L11" s="26">
        <f>F11*49.2/100</f>
        <v>0</v>
      </c>
      <c r="M11" s="18">
        <f t="shared" ref="M11:N11" si="2">G11*4+I11*9+K11*4</f>
        <v>0</v>
      </c>
      <c r="N11" s="28">
        <f t="shared" si="2"/>
        <v>0</v>
      </c>
    </row>
    <row r="12" spans="2:26" x14ac:dyDescent="0.25">
      <c r="B12" s="241"/>
      <c r="C12" s="65"/>
      <c r="D12" s="4" t="s">
        <v>99</v>
      </c>
      <c r="E12" s="20">
        <f t="shared" ref="E12:N12" si="3">SUM(E7:E11)</f>
        <v>400</v>
      </c>
      <c r="F12" s="69">
        <f t="shared" si="3"/>
        <v>450</v>
      </c>
      <c r="G12" s="7">
        <f t="shared" si="3"/>
        <v>7.07</v>
      </c>
      <c r="H12" s="27">
        <f t="shared" si="3"/>
        <v>8.32</v>
      </c>
      <c r="I12" s="7">
        <f t="shared" si="3"/>
        <v>12.47</v>
      </c>
      <c r="J12" s="27">
        <f t="shared" si="3"/>
        <v>14.07</v>
      </c>
      <c r="K12" s="7">
        <f t="shared" si="3"/>
        <v>49.284999999999997</v>
      </c>
      <c r="L12" s="27">
        <f t="shared" si="3"/>
        <v>56.03</v>
      </c>
      <c r="M12" s="7">
        <f t="shared" si="3"/>
        <v>337.65</v>
      </c>
      <c r="N12" s="29">
        <f t="shared" si="3"/>
        <v>384.03</v>
      </c>
    </row>
    <row r="13" spans="2:26" x14ac:dyDescent="0.25">
      <c r="B13" s="241"/>
      <c r="C13" s="204" t="s">
        <v>8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6"/>
    </row>
    <row r="14" spans="2:26" x14ac:dyDescent="0.25">
      <c r="B14" s="241"/>
      <c r="C14" s="52" t="s">
        <v>71</v>
      </c>
      <c r="D14" s="73" t="s">
        <v>72</v>
      </c>
      <c r="E14" s="53">
        <v>200</v>
      </c>
      <c r="F14" s="30">
        <v>250</v>
      </c>
      <c r="G14" s="18">
        <f>E14*3.08/100</f>
        <v>6.16</v>
      </c>
      <c r="H14" s="26">
        <f>F14*3.08/100</f>
        <v>7.7</v>
      </c>
      <c r="I14" s="18">
        <f>E14*2.85/100</f>
        <v>5.7</v>
      </c>
      <c r="J14" s="26">
        <f>F14*2.85/100</f>
        <v>7.125</v>
      </c>
      <c r="K14" s="18">
        <f>E14*7.14/100</f>
        <v>14.28</v>
      </c>
      <c r="L14" s="26">
        <f>F14*7.14/100</f>
        <v>17.850000000000001</v>
      </c>
      <c r="M14" s="18">
        <f t="shared" ref="M14:N20" si="4">G14*4+I14*9+K14*4</f>
        <v>133.06</v>
      </c>
      <c r="N14" s="28">
        <f>H14*4+J14*9+L14*4</f>
        <v>166.32499999999999</v>
      </c>
    </row>
    <row r="15" spans="2:26" x14ac:dyDescent="0.25">
      <c r="B15" s="241"/>
      <c r="C15" s="77" t="s">
        <v>156</v>
      </c>
      <c r="D15" s="8" t="s">
        <v>157</v>
      </c>
      <c r="E15" s="53">
        <v>90</v>
      </c>
      <c r="F15" s="25">
        <v>100</v>
      </c>
      <c r="G15" s="18">
        <f>E15*15.3/100</f>
        <v>13.77</v>
      </c>
      <c r="H15" s="26">
        <f>F15*15.3/100</f>
        <v>15.3</v>
      </c>
      <c r="I15" s="18">
        <f>E15*11/100</f>
        <v>9.9</v>
      </c>
      <c r="J15" s="26">
        <f>F15*11/100</f>
        <v>11</v>
      </c>
      <c r="K15" s="18">
        <f>E15*13.3/100</f>
        <v>11.97</v>
      </c>
      <c r="L15" s="26">
        <f>F15*13.3/100</f>
        <v>13.3</v>
      </c>
      <c r="M15" s="19">
        <f t="shared" si="4"/>
        <v>192.06</v>
      </c>
      <c r="N15" s="33">
        <f t="shared" si="4"/>
        <v>213.39999999999998</v>
      </c>
    </row>
    <row r="16" spans="2:26" ht="15" customHeight="1" x14ac:dyDescent="0.25">
      <c r="B16" s="241"/>
      <c r="C16" s="17" t="s">
        <v>149</v>
      </c>
      <c r="D16" s="6" t="s">
        <v>155</v>
      </c>
      <c r="E16" s="53">
        <v>150</v>
      </c>
      <c r="F16" s="25">
        <v>180</v>
      </c>
      <c r="G16" s="18">
        <f>E16*3/100</f>
        <v>4.5</v>
      </c>
      <c r="H16" s="26">
        <f>F16*3/100</f>
        <v>5.4</v>
      </c>
      <c r="I16" s="18">
        <f>E16*2.32/100</f>
        <v>3.48</v>
      </c>
      <c r="J16" s="26">
        <f>F16*2.32/100</f>
        <v>4.1759999999999993</v>
      </c>
      <c r="K16" s="18">
        <f>E16*13.03/100</f>
        <v>19.545000000000002</v>
      </c>
      <c r="L16" s="26">
        <f>F16*13.03/100</f>
        <v>23.454000000000001</v>
      </c>
      <c r="M16" s="18">
        <f t="shared" si="4"/>
        <v>127.5</v>
      </c>
      <c r="N16" s="28">
        <f t="shared" si="4"/>
        <v>153</v>
      </c>
    </row>
    <row r="17" spans="2:20" ht="15" customHeight="1" x14ac:dyDescent="0.25">
      <c r="B17" s="241"/>
      <c r="C17" s="77" t="s">
        <v>42</v>
      </c>
      <c r="D17" s="9" t="s">
        <v>43</v>
      </c>
      <c r="E17" s="53">
        <v>40</v>
      </c>
      <c r="F17" s="25">
        <v>50</v>
      </c>
      <c r="G17" s="18">
        <f>E17*1.3/50</f>
        <v>1.04</v>
      </c>
      <c r="H17" s="26">
        <f>F17*1.3/50</f>
        <v>1.3</v>
      </c>
      <c r="I17" s="18">
        <f>E17*4.8/50</f>
        <v>3.84</v>
      </c>
      <c r="J17" s="26">
        <f>F17*4.8/50</f>
        <v>4.8</v>
      </c>
      <c r="K17" s="18">
        <f>E17*4.7/50</f>
        <v>3.76</v>
      </c>
      <c r="L17" s="26">
        <f>F17*4.7/50</f>
        <v>4.7</v>
      </c>
      <c r="M17" s="18">
        <f t="shared" si="4"/>
        <v>53.76</v>
      </c>
      <c r="N17" s="28">
        <f t="shared" si="4"/>
        <v>67.2</v>
      </c>
    </row>
    <row r="18" spans="2:20" ht="15" customHeight="1" x14ac:dyDescent="0.25">
      <c r="B18" s="241"/>
      <c r="C18" s="77" t="s">
        <v>65</v>
      </c>
      <c r="D18" s="9" t="s">
        <v>66</v>
      </c>
      <c r="E18" s="53">
        <v>200</v>
      </c>
      <c r="F18" s="25">
        <v>200</v>
      </c>
      <c r="G18" s="18">
        <f>E18*0.67/200</f>
        <v>0.67</v>
      </c>
      <c r="H18" s="26">
        <f>F18*0.67/200</f>
        <v>0.67</v>
      </c>
      <c r="I18" s="18">
        <f>E18*0.27/200</f>
        <v>0.27</v>
      </c>
      <c r="J18" s="26">
        <f>F18*0.27/200</f>
        <v>0.27</v>
      </c>
      <c r="K18" s="18">
        <f>E18*18.3/200</f>
        <v>18.3</v>
      </c>
      <c r="L18" s="26">
        <f>F18*18.3/200</f>
        <v>18.3</v>
      </c>
      <c r="M18" s="18">
        <f t="shared" si="4"/>
        <v>78.31</v>
      </c>
      <c r="N18" s="28">
        <f t="shared" si="4"/>
        <v>78.31</v>
      </c>
    </row>
    <row r="19" spans="2:20" ht="15" customHeight="1" x14ac:dyDescent="0.25">
      <c r="B19" s="241"/>
      <c r="C19" s="17" t="s">
        <v>50</v>
      </c>
      <c r="D19" s="6" t="s">
        <v>14</v>
      </c>
      <c r="E19" s="47">
        <v>20</v>
      </c>
      <c r="F19" s="48">
        <v>20</v>
      </c>
      <c r="G19" s="18">
        <f>E19*8/100</f>
        <v>1.6</v>
      </c>
      <c r="H19" s="26">
        <f>F19*8/100</f>
        <v>1.6</v>
      </c>
      <c r="I19" s="18">
        <f>E19*1.5/100</f>
        <v>0.3</v>
      </c>
      <c r="J19" s="26">
        <f>F19*1.5/100</f>
        <v>0.3</v>
      </c>
      <c r="K19" s="18">
        <f>E19*40.1/100</f>
        <v>8.02</v>
      </c>
      <c r="L19" s="26">
        <f>F19*40.1/100</f>
        <v>8.02</v>
      </c>
      <c r="M19" s="18">
        <f t="shared" si="4"/>
        <v>41.18</v>
      </c>
      <c r="N19" s="28">
        <f t="shared" si="4"/>
        <v>41.18</v>
      </c>
      <c r="T19" s="14" t="s">
        <v>15</v>
      </c>
    </row>
    <row r="20" spans="2:20" ht="15" customHeight="1" x14ac:dyDescent="0.25">
      <c r="B20" s="241"/>
      <c r="C20" s="17" t="s">
        <v>51</v>
      </c>
      <c r="D20" s="6" t="s">
        <v>52</v>
      </c>
      <c r="E20" s="47">
        <v>40</v>
      </c>
      <c r="F20" s="48">
        <v>40</v>
      </c>
      <c r="G20" s="18">
        <f>E20*7.6/100</f>
        <v>3.04</v>
      </c>
      <c r="H20" s="26">
        <f>F20*7.6/100</f>
        <v>3.04</v>
      </c>
      <c r="I20" s="18">
        <f>E20*0.8/100</f>
        <v>0.32</v>
      </c>
      <c r="J20" s="26">
        <f>F20*0.8/100</f>
        <v>0.32</v>
      </c>
      <c r="K20" s="18">
        <f>E20*49.2/100</f>
        <v>19.68</v>
      </c>
      <c r="L20" s="26">
        <f>F20*49.2/100</f>
        <v>19.68</v>
      </c>
      <c r="M20" s="18">
        <f t="shared" si="4"/>
        <v>93.759999999999991</v>
      </c>
      <c r="N20" s="28">
        <f t="shared" si="4"/>
        <v>93.759999999999991</v>
      </c>
    </row>
    <row r="21" spans="2:20" ht="15" customHeight="1" thickBot="1" x14ac:dyDescent="0.3">
      <c r="B21" s="242"/>
      <c r="C21" s="21"/>
      <c r="D21" s="15" t="s">
        <v>10</v>
      </c>
      <c r="E21" s="57">
        <f t="shared" ref="E21:N21" si="5">SUM(E14:E20)</f>
        <v>740</v>
      </c>
      <c r="F21" s="58">
        <f t="shared" si="5"/>
        <v>840</v>
      </c>
      <c r="G21" s="16">
        <f t="shared" si="5"/>
        <v>30.78</v>
      </c>
      <c r="H21" s="32">
        <f t="shared" si="5"/>
        <v>35.010000000000005</v>
      </c>
      <c r="I21" s="57">
        <f t="shared" si="5"/>
        <v>23.810000000000002</v>
      </c>
      <c r="J21" s="32">
        <f t="shared" si="5"/>
        <v>27.991</v>
      </c>
      <c r="K21" s="16">
        <f t="shared" si="5"/>
        <v>95.555000000000007</v>
      </c>
      <c r="L21" s="32">
        <f t="shared" si="5"/>
        <v>105.304</v>
      </c>
      <c r="M21" s="16">
        <f t="shared" si="5"/>
        <v>719.63</v>
      </c>
      <c r="N21" s="34">
        <f t="shared" si="5"/>
        <v>813.17499999999984</v>
      </c>
    </row>
    <row r="22" spans="2:20" ht="15" customHeight="1" x14ac:dyDescent="0.25">
      <c r="B22" s="88"/>
      <c r="C22" s="226" t="s">
        <v>98</v>
      </c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8"/>
    </row>
    <row r="23" spans="2:20" ht="15" customHeight="1" x14ac:dyDescent="0.25">
      <c r="B23" s="96"/>
      <c r="C23" s="77" t="s">
        <v>164</v>
      </c>
      <c r="D23" s="8" t="s">
        <v>165</v>
      </c>
      <c r="E23" s="53">
        <v>150</v>
      </c>
      <c r="F23" s="108">
        <v>200</v>
      </c>
      <c r="G23" s="18">
        <f>E23*3.63/100</f>
        <v>5.4450000000000003</v>
      </c>
      <c r="H23" s="26">
        <f>F23*3.63/100</f>
        <v>7.26</v>
      </c>
      <c r="I23" s="18">
        <f>E23*3.62/100</f>
        <v>5.43</v>
      </c>
      <c r="J23" s="26">
        <f>F23*3.62/100</f>
        <v>7.24</v>
      </c>
      <c r="K23" s="18">
        <f>E23*17.42/100</f>
        <v>26.130000000000006</v>
      </c>
      <c r="L23" s="26">
        <f>F23*17.42/100</f>
        <v>34.840000000000003</v>
      </c>
      <c r="M23" s="18">
        <f t="shared" ref="M23:N26" si="6">G23*4+I23*9+K23*4</f>
        <v>175.17000000000002</v>
      </c>
      <c r="N23" s="28">
        <f t="shared" si="6"/>
        <v>233.56</v>
      </c>
    </row>
    <row r="24" spans="2:20" ht="15" customHeight="1" x14ac:dyDescent="0.25">
      <c r="B24" s="89"/>
      <c r="C24" s="17" t="s">
        <v>51</v>
      </c>
      <c r="D24" s="6" t="s">
        <v>52</v>
      </c>
      <c r="E24" s="47">
        <v>40</v>
      </c>
      <c r="F24" s="48">
        <v>50</v>
      </c>
      <c r="G24" s="18">
        <f>E24*7.6/100</f>
        <v>3.04</v>
      </c>
      <c r="H24" s="26">
        <f>F24*7.6/100</f>
        <v>3.8</v>
      </c>
      <c r="I24" s="18">
        <f>E24*0.8/100</f>
        <v>0.32</v>
      </c>
      <c r="J24" s="26">
        <f>F24*0.8/100</f>
        <v>0.4</v>
      </c>
      <c r="K24" s="18">
        <f>E24*49.2/100</f>
        <v>19.68</v>
      </c>
      <c r="L24" s="26">
        <f>F24*49.2/100</f>
        <v>24.6</v>
      </c>
      <c r="M24" s="18">
        <f t="shared" si="6"/>
        <v>93.759999999999991</v>
      </c>
      <c r="N24" s="28">
        <f t="shared" si="6"/>
        <v>117.2</v>
      </c>
    </row>
    <row r="25" spans="2:20" ht="15" customHeight="1" x14ac:dyDescent="0.25">
      <c r="B25" s="89"/>
      <c r="C25" s="93" t="s">
        <v>140</v>
      </c>
      <c r="D25" s="94" t="s">
        <v>141</v>
      </c>
      <c r="E25" s="53">
        <v>10</v>
      </c>
      <c r="F25" s="95">
        <v>10</v>
      </c>
      <c r="G25" s="18">
        <f>E25*0.8/100</f>
        <v>0.08</v>
      </c>
      <c r="H25" s="26">
        <f>F25*0.8/100</f>
        <v>0.08</v>
      </c>
      <c r="I25" s="18">
        <f>E25*72.5/100</f>
        <v>7.25</v>
      </c>
      <c r="J25" s="26">
        <f>F25*72.5/100</f>
        <v>7.25</v>
      </c>
      <c r="K25" s="18">
        <f>E25*1.3/100</f>
        <v>0.13</v>
      </c>
      <c r="L25" s="26">
        <f>F25*1.3/100</f>
        <v>0.13</v>
      </c>
      <c r="M25" s="18">
        <f t="shared" si="6"/>
        <v>66.089999999999989</v>
      </c>
      <c r="N25" s="28">
        <f t="shared" si="6"/>
        <v>66.089999999999989</v>
      </c>
      <c r="P25" s="14" t="s">
        <v>15</v>
      </c>
    </row>
    <row r="26" spans="2:20" ht="15" customHeight="1" x14ac:dyDescent="0.25">
      <c r="B26" s="89"/>
      <c r="C26" s="77" t="s">
        <v>34</v>
      </c>
      <c r="D26" s="9" t="s">
        <v>94</v>
      </c>
      <c r="E26" s="53">
        <v>200</v>
      </c>
      <c r="F26" s="25">
        <v>200</v>
      </c>
      <c r="G26" s="18">
        <f>E26*0.2/200</f>
        <v>0.2</v>
      </c>
      <c r="H26" s="26">
        <f>F26*0.2/200</f>
        <v>0.2</v>
      </c>
      <c r="I26" s="18">
        <f t="shared" ref="I26:J26" si="7">E26*0.1/200</f>
        <v>0.1</v>
      </c>
      <c r="J26" s="26">
        <f t="shared" si="7"/>
        <v>0.1</v>
      </c>
      <c r="K26" s="18">
        <f>E26*9.3/200</f>
        <v>9.3000000000000007</v>
      </c>
      <c r="L26" s="26">
        <f>F26*9.3/200</f>
        <v>9.3000000000000007</v>
      </c>
      <c r="M26" s="18">
        <f t="shared" si="6"/>
        <v>38.900000000000006</v>
      </c>
      <c r="N26" s="28">
        <f t="shared" si="6"/>
        <v>38.900000000000006</v>
      </c>
    </row>
    <row r="27" spans="2:20" ht="15" customHeight="1" x14ac:dyDescent="0.25">
      <c r="B27" s="89"/>
      <c r="C27" s="17"/>
      <c r="D27" s="6"/>
      <c r="E27" s="47"/>
      <c r="F27" s="48"/>
      <c r="G27" s="18">
        <f>E27*7.6/100</f>
        <v>0</v>
      </c>
      <c r="H27" s="26">
        <f>F27*7.6/100</f>
        <v>0</v>
      </c>
      <c r="I27" s="18">
        <f>E27*0.8/100</f>
        <v>0</v>
      </c>
      <c r="J27" s="26">
        <f>F27*0.8/100</f>
        <v>0</v>
      </c>
      <c r="K27" s="18">
        <f>E27*49.2/100</f>
        <v>0</v>
      </c>
      <c r="L27" s="26">
        <f>F27*49.2/100</f>
        <v>0</v>
      </c>
      <c r="M27" s="18">
        <f t="shared" ref="M27:N27" si="8">G27*4+I27*9+K27*4</f>
        <v>0</v>
      </c>
      <c r="N27" s="28">
        <f t="shared" si="8"/>
        <v>0</v>
      </c>
    </row>
    <row r="28" spans="2:20" ht="15" customHeight="1" x14ac:dyDescent="0.25">
      <c r="B28" s="89"/>
      <c r="C28" s="17"/>
      <c r="D28" s="4" t="s">
        <v>99</v>
      </c>
      <c r="E28" s="64">
        <f t="shared" ref="E28:N28" si="9">SUM(E23:E27)</f>
        <v>400</v>
      </c>
      <c r="F28" s="68">
        <f t="shared" si="9"/>
        <v>460</v>
      </c>
      <c r="G28" s="7">
        <f t="shared" si="9"/>
        <v>8.7649999999999988</v>
      </c>
      <c r="H28" s="27">
        <f t="shared" si="9"/>
        <v>11.339999999999998</v>
      </c>
      <c r="I28" s="7">
        <f t="shared" si="9"/>
        <v>13.1</v>
      </c>
      <c r="J28" s="27">
        <f t="shared" si="9"/>
        <v>14.99</v>
      </c>
      <c r="K28" s="7">
        <f t="shared" si="9"/>
        <v>55.240000000000009</v>
      </c>
      <c r="L28" s="27">
        <f t="shared" si="9"/>
        <v>68.87</v>
      </c>
      <c r="M28" s="7">
        <f t="shared" si="9"/>
        <v>373.91999999999996</v>
      </c>
      <c r="N28" s="29">
        <f t="shared" si="9"/>
        <v>455.75</v>
      </c>
    </row>
    <row r="29" spans="2:20" x14ac:dyDescent="0.25">
      <c r="B29" s="202" t="s">
        <v>109</v>
      </c>
      <c r="C29" s="204" t="s">
        <v>8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6"/>
    </row>
    <row r="30" spans="2:20" x14ac:dyDescent="0.25">
      <c r="B30" s="202"/>
      <c r="C30" s="67" t="s">
        <v>92</v>
      </c>
      <c r="D30" s="71" t="s">
        <v>93</v>
      </c>
      <c r="E30" s="66">
        <v>250</v>
      </c>
      <c r="F30" s="35">
        <v>250</v>
      </c>
      <c r="G30" s="18">
        <f>E30*1.77/100</f>
        <v>4.4249999999999998</v>
      </c>
      <c r="H30" s="26">
        <f>F30*1.77/100</f>
        <v>4.4249999999999998</v>
      </c>
      <c r="I30" s="18">
        <f>E30*2.89/100</f>
        <v>7.2249999999999996</v>
      </c>
      <c r="J30" s="26">
        <f>F30*2.89/100</f>
        <v>7.2249999999999996</v>
      </c>
      <c r="K30" s="18">
        <f>E30*4.47/100</f>
        <v>11.175000000000001</v>
      </c>
      <c r="L30" s="26">
        <f>F30*4.47/100</f>
        <v>11.175000000000001</v>
      </c>
      <c r="M30" s="18">
        <f t="shared" ref="M30:N35" si="10">G30*4+I30*9+K30*4</f>
        <v>127.425</v>
      </c>
      <c r="N30" s="28">
        <f>H30*4+J30*9+L30*4</f>
        <v>127.425</v>
      </c>
    </row>
    <row r="31" spans="2:20" x14ac:dyDescent="0.25">
      <c r="B31" s="202"/>
      <c r="C31" s="77" t="s">
        <v>159</v>
      </c>
      <c r="D31" s="9" t="s">
        <v>162</v>
      </c>
      <c r="E31" s="53">
        <v>100</v>
      </c>
      <c r="F31" s="25">
        <v>100</v>
      </c>
      <c r="G31" s="18">
        <f>E31*18.2/100</f>
        <v>18.2</v>
      </c>
      <c r="H31" s="26">
        <f>F31*18.2/100</f>
        <v>18.2</v>
      </c>
      <c r="I31" s="18">
        <f>E31*7.55/100</f>
        <v>7.55</v>
      </c>
      <c r="J31" s="26">
        <f>F31*7.55/100</f>
        <v>7.55</v>
      </c>
      <c r="K31" s="18">
        <f>E31*2.3/100</f>
        <v>2.2999999999999998</v>
      </c>
      <c r="L31" s="26">
        <f>F31*2.3/100</f>
        <v>2.2999999999999998</v>
      </c>
      <c r="M31" s="18">
        <f t="shared" si="10"/>
        <v>149.94999999999999</v>
      </c>
      <c r="N31" s="28">
        <f t="shared" si="10"/>
        <v>149.94999999999999</v>
      </c>
    </row>
    <row r="32" spans="2:20" x14ac:dyDescent="0.25">
      <c r="B32" s="202"/>
      <c r="C32" s="17" t="s">
        <v>158</v>
      </c>
      <c r="D32" s="6" t="s">
        <v>163</v>
      </c>
      <c r="E32" s="53">
        <v>150</v>
      </c>
      <c r="F32" s="25">
        <v>180</v>
      </c>
      <c r="G32" s="18">
        <f>E32*2.3/100</f>
        <v>3.45</v>
      </c>
      <c r="H32" s="26">
        <f>F32*2.3/100</f>
        <v>4.1399999999999997</v>
      </c>
      <c r="I32" s="18">
        <f>E32*3.7/100</f>
        <v>5.55</v>
      </c>
      <c r="J32" s="26">
        <f>F32*3.7/100</f>
        <v>6.66</v>
      </c>
      <c r="K32" s="18">
        <f>E32*23.4/100</f>
        <v>35.1</v>
      </c>
      <c r="L32" s="26">
        <f>F32*23.4/100</f>
        <v>42.12</v>
      </c>
      <c r="M32" s="18">
        <f t="shared" si="10"/>
        <v>204.15</v>
      </c>
      <c r="N32" s="28">
        <f t="shared" si="10"/>
        <v>244.98</v>
      </c>
    </row>
    <row r="33" spans="2:19" x14ac:dyDescent="0.25">
      <c r="B33" s="202"/>
      <c r="C33" s="77" t="s">
        <v>35</v>
      </c>
      <c r="D33" s="9" t="s">
        <v>36</v>
      </c>
      <c r="E33" s="53">
        <v>200</v>
      </c>
      <c r="F33" s="25">
        <v>200</v>
      </c>
      <c r="G33" s="18">
        <f>E33*0.6/200</f>
        <v>0.6</v>
      </c>
      <c r="H33" s="26">
        <f>F33*0.6/200</f>
        <v>0.6</v>
      </c>
      <c r="I33" s="18">
        <f t="shared" ref="I33:J33" si="11">E33*0.1/200</f>
        <v>0.1</v>
      </c>
      <c r="J33" s="26">
        <f t="shared" si="11"/>
        <v>0.1</v>
      </c>
      <c r="K33" s="18">
        <f>E33*20.1/200</f>
        <v>20.100000000000001</v>
      </c>
      <c r="L33" s="26">
        <f>F33*20.1/200</f>
        <v>20.100000000000001</v>
      </c>
      <c r="M33" s="18">
        <f t="shared" si="10"/>
        <v>83.7</v>
      </c>
      <c r="N33" s="28">
        <f t="shared" si="10"/>
        <v>83.7</v>
      </c>
      <c r="Q33" s="14" t="s">
        <v>15</v>
      </c>
    </row>
    <row r="34" spans="2:19" x14ac:dyDescent="0.25">
      <c r="B34" s="202"/>
      <c r="C34" s="17" t="s">
        <v>50</v>
      </c>
      <c r="D34" s="6" t="s">
        <v>14</v>
      </c>
      <c r="E34" s="47">
        <v>20</v>
      </c>
      <c r="F34" s="48">
        <v>20</v>
      </c>
      <c r="G34" s="18">
        <f>E34*8/100</f>
        <v>1.6</v>
      </c>
      <c r="H34" s="26">
        <f>F34*8/100</f>
        <v>1.6</v>
      </c>
      <c r="I34" s="18">
        <f>E34*1.5/100</f>
        <v>0.3</v>
      </c>
      <c r="J34" s="26">
        <f>F34*1.5/100</f>
        <v>0.3</v>
      </c>
      <c r="K34" s="18">
        <f>E34*40.1/100</f>
        <v>8.02</v>
      </c>
      <c r="L34" s="26">
        <f>F34*40.1/100</f>
        <v>8.02</v>
      </c>
      <c r="M34" s="18">
        <f t="shared" si="10"/>
        <v>41.18</v>
      </c>
      <c r="N34" s="28">
        <f t="shared" si="10"/>
        <v>41.18</v>
      </c>
      <c r="S34" s="1"/>
    </row>
    <row r="35" spans="2:19" x14ac:dyDescent="0.25">
      <c r="B35" s="202"/>
      <c r="C35" s="17" t="s">
        <v>51</v>
      </c>
      <c r="D35" s="6" t="s">
        <v>52</v>
      </c>
      <c r="E35" s="47">
        <v>50</v>
      </c>
      <c r="F35" s="48">
        <v>50</v>
      </c>
      <c r="G35" s="18">
        <f>E35*7.6/100</f>
        <v>3.8</v>
      </c>
      <c r="H35" s="26">
        <f>F35*7.6/100</f>
        <v>3.8</v>
      </c>
      <c r="I35" s="18">
        <f>E35*0.8/100</f>
        <v>0.4</v>
      </c>
      <c r="J35" s="26">
        <f>F35*0.8/100</f>
        <v>0.4</v>
      </c>
      <c r="K35" s="18">
        <f>E35*49.2/100</f>
        <v>24.6</v>
      </c>
      <c r="L35" s="26">
        <f>F35*49.2/100</f>
        <v>24.6</v>
      </c>
      <c r="M35" s="18">
        <f t="shared" si="10"/>
        <v>117.2</v>
      </c>
      <c r="N35" s="28">
        <f t="shared" si="10"/>
        <v>117.2</v>
      </c>
    </row>
    <row r="36" spans="2:19" x14ac:dyDescent="0.25">
      <c r="B36" s="202"/>
      <c r="C36" s="17"/>
      <c r="D36" s="4" t="s">
        <v>10</v>
      </c>
      <c r="E36" s="20">
        <f t="shared" ref="E36:N36" si="12">SUM(E30:E35)</f>
        <v>770</v>
      </c>
      <c r="F36" s="31">
        <f t="shared" si="12"/>
        <v>800</v>
      </c>
      <c r="G36" s="7">
        <f t="shared" si="12"/>
        <v>32.075000000000003</v>
      </c>
      <c r="H36" s="27">
        <f t="shared" si="12"/>
        <v>32.765000000000001</v>
      </c>
      <c r="I36" s="20">
        <f t="shared" si="12"/>
        <v>21.125</v>
      </c>
      <c r="J36" s="27">
        <f t="shared" si="12"/>
        <v>22.234999999999999</v>
      </c>
      <c r="K36" s="20">
        <f t="shared" si="12"/>
        <v>101.29500000000002</v>
      </c>
      <c r="L36" s="27">
        <f t="shared" si="12"/>
        <v>108.315</v>
      </c>
      <c r="M36" s="7">
        <f t="shared" si="12"/>
        <v>723.60500000000002</v>
      </c>
      <c r="N36" s="29">
        <f t="shared" si="12"/>
        <v>764.43500000000006</v>
      </c>
    </row>
    <row r="37" spans="2:19" x14ac:dyDescent="0.25">
      <c r="B37" s="202"/>
      <c r="C37" s="268" t="s">
        <v>144</v>
      </c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70"/>
    </row>
    <row r="38" spans="2:19" ht="15.75" thickBot="1" x14ac:dyDescent="0.3">
      <c r="B38" s="203"/>
      <c r="C38" s="77" t="s">
        <v>160</v>
      </c>
      <c r="D38" s="8" t="s">
        <v>161</v>
      </c>
      <c r="E38" s="53">
        <v>230</v>
      </c>
      <c r="F38" s="25">
        <v>250</v>
      </c>
      <c r="G38" s="18">
        <f>E38*10.8/100</f>
        <v>24.84</v>
      </c>
      <c r="H38" s="26">
        <f>F38*10.8/100</f>
        <v>27</v>
      </c>
      <c r="I38" s="53">
        <f>E38*5.9/100</f>
        <v>13.57</v>
      </c>
      <c r="J38" s="26">
        <f>F38*5.9/100</f>
        <v>14.75</v>
      </c>
      <c r="K38" s="18">
        <f>E38*18.9/100</f>
        <v>43.47</v>
      </c>
      <c r="L38" s="26">
        <f>F38*18.9/100</f>
        <v>47.25</v>
      </c>
      <c r="M38" s="18">
        <f t="shared" ref="M38:N38" si="13">G38*4+I38*9+K38*4</f>
        <v>395.37</v>
      </c>
      <c r="N38" s="28">
        <f t="shared" si="13"/>
        <v>429.75</v>
      </c>
    </row>
    <row r="39" spans="2:19" ht="15.75" thickBot="1" x14ac:dyDescent="0.3">
      <c r="B39" s="267" t="s">
        <v>38</v>
      </c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1"/>
    </row>
    <row r="40" spans="2:19" x14ac:dyDescent="0.25">
      <c r="B40" s="262" t="s">
        <v>16</v>
      </c>
      <c r="C40" s="263"/>
      <c r="D40" s="264" t="s">
        <v>17</v>
      </c>
      <c r="E40" s="265"/>
      <c r="F40" s="265"/>
      <c r="G40" s="265"/>
      <c r="H40" s="265"/>
      <c r="I40" s="265"/>
      <c r="J40" s="265"/>
      <c r="K40" s="265"/>
      <c r="L40" s="265"/>
      <c r="M40" s="265"/>
      <c r="N40" s="266"/>
    </row>
    <row r="41" spans="2:19" x14ac:dyDescent="0.25">
      <c r="B41" s="246"/>
      <c r="C41" s="247"/>
      <c r="D41" s="259" t="s">
        <v>27</v>
      </c>
      <c r="E41" s="260"/>
      <c r="F41" s="260"/>
      <c r="G41" s="260"/>
      <c r="H41" s="260"/>
      <c r="I41" s="260"/>
      <c r="J41" s="260"/>
      <c r="K41" s="260"/>
      <c r="L41" s="260"/>
      <c r="M41" s="260"/>
      <c r="N41" s="261"/>
    </row>
    <row r="42" spans="2:19" ht="15" customHeight="1" x14ac:dyDescent="0.25">
      <c r="B42" s="246" t="s">
        <v>18</v>
      </c>
      <c r="C42" s="247"/>
      <c r="D42" s="253" t="s">
        <v>19</v>
      </c>
      <c r="E42" s="254"/>
      <c r="F42" s="254"/>
      <c r="G42" s="254"/>
      <c r="H42" s="254"/>
      <c r="I42" s="254"/>
      <c r="J42" s="254"/>
      <c r="K42" s="254"/>
      <c r="L42" s="254"/>
      <c r="M42" s="254"/>
      <c r="N42" s="255"/>
    </row>
    <row r="43" spans="2:19" x14ac:dyDescent="0.25">
      <c r="B43" s="246"/>
      <c r="C43" s="247"/>
      <c r="D43" s="256" t="s">
        <v>20</v>
      </c>
      <c r="E43" s="257"/>
      <c r="F43" s="257"/>
      <c r="G43" s="257"/>
      <c r="H43" s="257"/>
      <c r="I43" s="257"/>
      <c r="J43" s="257"/>
      <c r="K43" s="257"/>
      <c r="L43" s="257"/>
      <c r="M43" s="257"/>
      <c r="N43" s="258"/>
    </row>
    <row r="44" spans="2:19" x14ac:dyDescent="0.25">
      <c r="B44" s="246" t="s">
        <v>21</v>
      </c>
      <c r="C44" s="247"/>
      <c r="D44" s="253" t="s">
        <v>19</v>
      </c>
      <c r="E44" s="254"/>
      <c r="F44" s="254"/>
      <c r="G44" s="254"/>
      <c r="H44" s="254"/>
      <c r="I44" s="254"/>
      <c r="J44" s="254"/>
      <c r="K44" s="254"/>
      <c r="L44" s="254"/>
      <c r="M44" s="254"/>
      <c r="N44" s="255"/>
    </row>
    <row r="45" spans="2:19" x14ac:dyDescent="0.25">
      <c r="B45" s="246"/>
      <c r="C45" s="247"/>
      <c r="D45" s="259" t="s">
        <v>22</v>
      </c>
      <c r="E45" s="260"/>
      <c r="F45" s="260"/>
      <c r="G45" s="260"/>
      <c r="H45" s="260"/>
      <c r="I45" s="260"/>
      <c r="J45" s="260"/>
      <c r="K45" s="260"/>
      <c r="L45" s="260"/>
      <c r="M45" s="260"/>
      <c r="N45" s="261"/>
    </row>
    <row r="46" spans="2:19" x14ac:dyDescent="0.25">
      <c r="B46" s="246" t="s">
        <v>24</v>
      </c>
      <c r="C46" s="247"/>
      <c r="D46" s="70" t="s">
        <v>25</v>
      </c>
      <c r="E46" s="10"/>
      <c r="F46" s="11"/>
      <c r="G46" s="11"/>
      <c r="H46" s="11"/>
      <c r="I46" s="11"/>
      <c r="J46" s="11"/>
      <c r="K46" s="11"/>
      <c r="L46" s="11"/>
      <c r="M46" s="11"/>
      <c r="N46" s="40"/>
    </row>
    <row r="47" spans="2:19" ht="15.75" thickBot="1" x14ac:dyDescent="0.3">
      <c r="B47" s="248"/>
      <c r="C47" s="249"/>
      <c r="D47" s="250" t="s">
        <v>26</v>
      </c>
      <c r="E47" s="251"/>
      <c r="F47" s="251"/>
      <c r="G47" s="251"/>
      <c r="H47" s="251"/>
      <c r="I47" s="251"/>
      <c r="J47" s="251"/>
      <c r="K47" s="251"/>
      <c r="L47" s="251"/>
      <c r="M47" s="251"/>
      <c r="N47" s="252"/>
    </row>
    <row r="63" spans="4:4" x14ac:dyDescent="0.25">
      <c r="D63" s="14" t="s">
        <v>15</v>
      </c>
    </row>
  </sheetData>
  <mergeCells count="29">
    <mergeCell ref="M3:N4"/>
    <mergeCell ref="G4:H4"/>
    <mergeCell ref="I4:J4"/>
    <mergeCell ref="K4:L4"/>
    <mergeCell ref="B2:E2"/>
    <mergeCell ref="B3:B5"/>
    <mergeCell ref="C3:C5"/>
    <mergeCell ref="D3:D5"/>
    <mergeCell ref="E3:F4"/>
    <mergeCell ref="G3:L3"/>
    <mergeCell ref="B40:C41"/>
    <mergeCell ref="D40:N40"/>
    <mergeCell ref="D41:N41"/>
    <mergeCell ref="B6:B21"/>
    <mergeCell ref="C6:N6"/>
    <mergeCell ref="C13:N13"/>
    <mergeCell ref="C22:N22"/>
    <mergeCell ref="C29:N29"/>
    <mergeCell ref="B39:N39"/>
    <mergeCell ref="C37:N37"/>
    <mergeCell ref="B29:B38"/>
    <mergeCell ref="B46:C47"/>
    <mergeCell ref="D47:N47"/>
    <mergeCell ref="B42:C43"/>
    <mergeCell ref="D42:N42"/>
    <mergeCell ref="D43:N43"/>
    <mergeCell ref="B44:C45"/>
    <mergeCell ref="D44:N44"/>
    <mergeCell ref="D45:N45"/>
  </mergeCells>
  <pageMargins left="0.23622047244094491" right="0.23622047244094491" top="0.19685039370078741" bottom="0.19685039370078741" header="0.31496062992125984" footer="0.31496062992125984"/>
  <pageSetup paperSize="9" scale="72" fitToWidth="0" fitToHeight="0" orientation="portrait" horizontalDpi="180" verticalDpi="180" r:id="rId1"/>
  <ignoredErrors>
    <ignoredError sqref="G10:L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0" sqref="H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свод</vt:lpstr>
      <vt:lpstr>1-2-3</vt:lpstr>
      <vt:lpstr>4-5</vt:lpstr>
      <vt:lpstr>6-7-8</vt:lpstr>
      <vt:lpstr>9-10</vt:lpstr>
      <vt:lpstr>000</vt:lpstr>
      <vt:lpstr>'9-10'!Область_печати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2025-01-17T09:34:44Z</dcterms:modified>
</cp:coreProperties>
</file>